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7512" windowHeight="6156" tabRatio="730" activeTab="0"/>
  </bookViews>
  <sheets>
    <sheet name="Basin Information" sheetId="1" r:id="rId1"/>
    <sheet name="Seepage Rate" sheetId="2" state="hidden" r:id="rId2"/>
    <sheet name="Bottom Seepage" sheetId="3" r:id="rId3"/>
    <sheet name="Side Slope Seepage" sheetId="4" r:id="rId4"/>
    <sheet name="Basin Volume" sheetId="5" r:id="rId5"/>
    <sheet name="Diff. Slope Basin Volume" sheetId="6" r:id="rId6"/>
    <sheet name="Combining Permeability" sheetId="7" r:id="rId7"/>
  </sheets>
  <definedNames>
    <definedName name="Average_K" localSheetId="1">'Seepage Rate'!$B$5</definedName>
    <definedName name="Average_K" localSheetId="3">'Side Slope Seepage'!$B$7</definedName>
    <definedName name="Average_K">'Bottom Seepage'!$B$11</definedName>
    <definedName name="Avg_Liquid_Depth" localSheetId="1">'Seepage Rate'!#REF!</definedName>
    <definedName name="Avg_Liquid_Depth" localSheetId="3">'Side Slope Seepage'!#REF!</definedName>
    <definedName name="Avg_Liquid_Depth">'Bottom Seepage'!$B$6</definedName>
    <definedName name="BL">'Diff. Slope Basin Volume'!$I$11</definedName>
    <definedName name="Bottom_Area" localSheetId="1">'Bottom Seepage'!$B$9</definedName>
    <definedName name="Bottom_Area" localSheetId="3">'Side Slope Seepage'!#REF!</definedName>
    <definedName name="Bottom_Area">'Bottom Seepage'!$B$9</definedName>
    <definedName name="Bottom_Length" localSheetId="1">'Seepage Rate'!#REF!</definedName>
    <definedName name="Bottom_Length" localSheetId="3">'Side Slope Seepage'!$B$3</definedName>
    <definedName name="Bottom_Length">'Bottom Seepage'!$B$5</definedName>
    <definedName name="Bottom_Width" localSheetId="1">'Seepage Rate'!#REF!</definedName>
    <definedName name="Bottom_Width" localSheetId="3">'Side Slope Seepage'!$D$3</definedName>
    <definedName name="Bottom_Width">'Bottom Seepage'!$D$5</definedName>
    <definedName name="BW">'Diff. Slope Basin Volume'!$I$12</definedName>
    <definedName name="D">'Diff. Slope Basin Volume'!$I$10</definedName>
    <definedName name="Depth" localSheetId="4">'Basin Volume'!$B$6</definedName>
    <definedName name="Depth" localSheetId="1">'Seepage Rate'!$F$3</definedName>
    <definedName name="Depth" localSheetId="3">'Side Slope Seepage'!$D$4</definedName>
    <definedName name="Depth">'Bottom Seepage'!$F$3</definedName>
    <definedName name="Design_HWL" localSheetId="4">'Basin Volume'!$B$9</definedName>
    <definedName name="Design_HWL" localSheetId="1">'Seepage Rate'!$D$3</definedName>
    <definedName name="Design_HWL" localSheetId="3">'Side Slope Seepage'!$B$4</definedName>
    <definedName name="Design_HWL">'Bottom Seepage'!$D$3</definedName>
    <definedName name="FB">'Diff. Slope Basin Volume'!$I$9</definedName>
    <definedName name="Free_Board">'Basin Volume'!$B$7</definedName>
    <definedName name="FreeBoard">'Basin Volume'!$A$7:$B$7</definedName>
    <definedName name="i" localSheetId="1">'Seepage Rate'!#REF!</definedName>
    <definedName name="i" localSheetId="3">'Side Slope Seepage'!#REF!</definedName>
    <definedName name="i">'Bottom Seepage'!$D$6</definedName>
    <definedName name="Liner_Thickness" localSheetId="1">'Seepage Rate'!$B$3</definedName>
    <definedName name="Liner_Thickness" localSheetId="3">'Side Slope Seepage'!$B$5</definedName>
    <definedName name="Liner_Thickness">'Bottom Seepage'!$B$3</definedName>
    <definedName name="S1_">'Diff. Slope Basin Volume'!$I$5</definedName>
    <definedName name="S2_">'Diff. Slope Basin Volume'!$I$6</definedName>
    <definedName name="S3_">'Diff. Slope Basin Volume'!$I$7</definedName>
    <definedName name="S4_">'Diff. Slope Basin Volume'!$I$8</definedName>
    <definedName name="Slope" localSheetId="4">'Basin Volume'!$B$5</definedName>
    <definedName name="Slope" localSheetId="1">'Seepage Rate'!$F$2</definedName>
    <definedName name="Slope" localSheetId="3">'Side Slope Seepage'!$D$5</definedName>
    <definedName name="Slope">'Bottom Seepage'!$F$2</definedName>
    <definedName name="TL">'Diff. Slope Basin Volume'!$I$3</definedName>
    <definedName name="Top_Length" localSheetId="4">'Basin Volume'!$B$3</definedName>
    <definedName name="Top_Length" localSheetId="1">'Seepage Rate'!$B$2</definedName>
    <definedName name="Top_Length" localSheetId="3">'Side Slope Seepage'!$B$2</definedName>
    <definedName name="Top_Length">'Bottom Seepage'!$B$2</definedName>
    <definedName name="Top_Width" localSheetId="4">'Basin Volume'!$B$4</definedName>
    <definedName name="Top_Width" localSheetId="1">'Seepage Rate'!$D$2</definedName>
    <definedName name="Top_Width" localSheetId="3">'Side Slope Seepage'!$D$2</definedName>
    <definedName name="Top_Width">'Bottom Seepage'!$D$2</definedName>
    <definedName name="TW">'Diff. Slope Basin Volume'!$I$4</definedName>
  </definedNames>
  <calcPr fullCalcOnLoad="1"/>
</workbook>
</file>

<file path=xl/sharedStrings.xml><?xml version="1.0" encoding="utf-8"?>
<sst xmlns="http://schemas.openxmlformats.org/spreadsheetml/2006/main" count="219" uniqueCount="110">
  <si>
    <t>Top Length</t>
  </si>
  <si>
    <t>Slope</t>
  </si>
  <si>
    <t>:1</t>
  </si>
  <si>
    <t>Bottom Length</t>
  </si>
  <si>
    <t>Bottom Width</t>
  </si>
  <si>
    <t>Depth</t>
  </si>
  <si>
    <t>Top Width</t>
  </si>
  <si>
    <t>Design HWL</t>
  </si>
  <si>
    <t>Liner Thickness</t>
  </si>
  <si>
    <t>i</t>
  </si>
  <si>
    <t>Basin Bottom</t>
  </si>
  <si>
    <t>Bottom Area</t>
  </si>
  <si>
    <t>Average K</t>
  </si>
  <si>
    <t>sq ft</t>
  </si>
  <si>
    <t>cm/sec</t>
  </si>
  <si>
    <t>ft/day</t>
  </si>
  <si>
    <t>Flow (Q)</t>
  </si>
  <si>
    <t>cu ft/day</t>
  </si>
  <si>
    <t>Basin Side Slopes</t>
  </si>
  <si>
    <t>Length</t>
  </si>
  <si>
    <t>Width</t>
  </si>
  <si>
    <t>Total Flow</t>
  </si>
  <si>
    <t>Total Area</t>
  </si>
  <si>
    <t>gal/day</t>
  </si>
  <si>
    <t>acres</t>
  </si>
  <si>
    <t>gal/acre-day</t>
  </si>
  <si>
    <t>Basin Volume</t>
  </si>
  <si>
    <r>
      <t>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</si>
  <si>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Liquid Depth</t>
  </si>
  <si>
    <t>Free Board</t>
  </si>
  <si>
    <t>Basin Information</t>
  </si>
  <si>
    <t>Basin Top Length</t>
  </si>
  <si>
    <t>Basin Top Width</t>
  </si>
  <si>
    <t>Basin Depth</t>
  </si>
  <si>
    <t>Side Wall Slope</t>
  </si>
  <si>
    <t>ft</t>
  </si>
  <si>
    <t>RESULTS</t>
  </si>
  <si>
    <r>
      <t>ft</t>
    </r>
    <r>
      <rPr>
        <vertAlign val="superscript"/>
        <sz val="10"/>
        <rFont val="Arial"/>
        <family val="2"/>
      </rPr>
      <t>3</t>
    </r>
  </si>
  <si>
    <t>Convert in/day to gal/day on a per acre basis</t>
  </si>
  <si>
    <t>gals</t>
  </si>
  <si>
    <t>in/day</t>
  </si>
  <si>
    <t>cu ft</t>
  </si>
  <si>
    <t>Design HWL Volume</t>
  </si>
  <si>
    <t xml:space="preserve">Volume of a basin with various sidewall slopes </t>
  </si>
  <si>
    <t>TL</t>
  </si>
  <si>
    <t>TW</t>
  </si>
  <si>
    <t>BL</t>
  </si>
  <si>
    <t>BW</t>
  </si>
  <si>
    <t>S1</t>
  </si>
  <si>
    <t>S2</t>
  </si>
  <si>
    <t>S3</t>
  </si>
  <si>
    <t>S4</t>
  </si>
  <si>
    <t>Slope Side 1</t>
  </si>
  <si>
    <t>Slope Side 2</t>
  </si>
  <si>
    <t>Slope Side 3</t>
  </si>
  <si>
    <t>Slope Side 4</t>
  </si>
  <si>
    <t>FB</t>
  </si>
  <si>
    <t>D</t>
  </si>
  <si>
    <t>Total Basin Depth</t>
  </si>
  <si>
    <t>Volume at Design HWL</t>
  </si>
  <si>
    <t>Total Basin Volume</t>
  </si>
  <si>
    <t>Sludge</t>
  </si>
  <si>
    <t>Volume (gals)</t>
  </si>
  <si>
    <t>Design Available Volume</t>
  </si>
  <si>
    <t>Sludge / Unpumpable</t>
  </si>
  <si>
    <t>Summary of Basin Bottom</t>
  </si>
  <si>
    <t>Slope Length</t>
  </si>
  <si>
    <t>Summary of Basin Side Slopes</t>
  </si>
  <si>
    <t>Seepage Rate</t>
  </si>
  <si>
    <t>Length at Liquid Depth</t>
  </si>
  <si>
    <t>Width at Liquid Depth</t>
  </si>
  <si>
    <t>Area Along Length</t>
  </si>
  <si>
    <t>Area Along Width</t>
  </si>
  <si>
    <t>Area of All Corners</t>
  </si>
  <si>
    <t>Seepage of Total Area</t>
  </si>
  <si>
    <t>Basin Bottom Summary - See Individual Sheet For Further Details</t>
  </si>
  <si>
    <t>Basin Side Slope Summary - See Individual Sheet For Further Details</t>
  </si>
  <si>
    <t>Overall Summary - Used for Compliance Determinations</t>
  </si>
  <si>
    <t>Basin Overall Volume
(at Design HWL)</t>
  </si>
  <si>
    <t>Basin Available Volume 
(at Design HWL Less Unpumpable)</t>
  </si>
  <si>
    <t>Seepage from Basin Estimate</t>
  </si>
  <si>
    <t>Total Flow @ Design HWL</t>
  </si>
  <si>
    <t>Total Area @ Design HWL</t>
  </si>
  <si>
    <t>i = hydraulic gradient</t>
  </si>
  <si>
    <r>
      <t>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effective porosity (0.10 for clay)</t>
    </r>
  </si>
  <si>
    <t>k = permeability (ft/day)</t>
  </si>
  <si>
    <t>Basin Sidewalls</t>
  </si>
  <si>
    <t>Basin Average</t>
  </si>
  <si>
    <t xml:space="preserve">cm/sec </t>
  </si>
  <si>
    <t>Bottom Seepage  Velocity (ft/day)</t>
  </si>
  <si>
    <t>Lower (base) material</t>
  </si>
  <si>
    <t>Upper (top) material</t>
  </si>
  <si>
    <r>
      <t>3rd material layer</t>
    </r>
    <r>
      <rPr>
        <sz val="10"/>
        <rFont val="Arial"/>
        <family val="2"/>
      </rPr>
      <t xml:space="preserve"> (optional)</t>
    </r>
  </si>
  <si>
    <t>Combined Permeability</t>
  </si>
  <si>
    <t>Thickness of material (in)</t>
  </si>
  <si>
    <t>Permeability of material (cm/sec)</t>
  </si>
  <si>
    <t>inches</t>
  </si>
  <si>
    <r>
      <rPr>
        <sz val="10"/>
        <rFont val="Arial"/>
        <family val="2"/>
      </rPr>
      <t>K</t>
    </r>
    <r>
      <rPr>
        <vertAlign val="subscript"/>
        <sz val="10"/>
        <rFont val="Arial"/>
        <family val="2"/>
      </rPr>
      <t>final</t>
    </r>
  </si>
  <si>
    <r>
      <t>k</t>
    </r>
    <r>
      <rPr>
        <vertAlign val="subscript"/>
        <sz val="10"/>
        <rFont val="Arial"/>
        <family val="2"/>
      </rPr>
      <t>1</t>
    </r>
  </si>
  <si>
    <r>
      <t>H</t>
    </r>
    <r>
      <rPr>
        <vertAlign val="subscript"/>
        <sz val="10"/>
        <rFont val="Arial"/>
        <family val="2"/>
      </rPr>
      <t>1</t>
    </r>
  </si>
  <si>
    <r>
      <t>H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</si>
  <si>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</si>
  <si>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</si>
  <si>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3</t>
    </r>
  </si>
  <si>
    <t>Calculate the overall permeability of two layers with different permeability test results</t>
  </si>
  <si>
    <t>Basin Seepage</t>
  </si>
  <si>
    <t>Basin Bottom Seepage 
(at Design HWL)</t>
  </si>
  <si>
    <t>Basin Sidewall Seepage 
(at Design HWL)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</si>
  <si>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Both bottom and sidewall must be less than or equal to 1/56 inch/day</t>
    </r>
  </si>
  <si>
    <t>Basin Seepage 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</si>
</sst>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E+00"/>
    <numFmt numFmtId="166" formatCode="0.000"/>
    <numFmt numFmtId="167" formatCode="0.0"/>
    <numFmt numFmtId="168" formatCode="&quot;1/&quot;0"/>
  </numFmts>
  <fonts count="5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8"/>
      <color indexed="8"/>
      <name val="Calibri"/>
      <family val="0"/>
    </font>
    <font>
      <vertAlign val="subscript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3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167" fontId="0" fillId="35" borderId="19" xfId="0" applyNumberForma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164" fontId="0" fillId="35" borderId="21" xfId="0" applyNumberFormat="1" applyFill="1" applyBorder="1" applyAlignment="1" applyProtection="1">
      <alignment/>
      <protection locked="0"/>
    </xf>
    <xf numFmtId="3" fontId="0" fillId="34" borderId="15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0" xfId="0" applyFont="1" applyFill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0" xfId="0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3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3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 horizontal="centerContinuous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1" fontId="0" fillId="0" borderId="0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64" fontId="0" fillId="35" borderId="17" xfId="0" applyNumberForma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7" fillId="33" borderId="31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39" borderId="17" xfId="0" applyFill="1" applyBorder="1" applyAlignment="1" applyProtection="1">
      <alignment/>
      <protection locked="0"/>
    </xf>
    <xf numFmtId="11" fontId="0" fillId="39" borderId="17" xfId="0" applyNumberForma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right" vertical="center" wrapText="1"/>
      <protection/>
    </xf>
    <xf numFmtId="0" fontId="1" fillId="40" borderId="36" xfId="0" applyFont="1" applyFill="1" applyBorder="1" applyAlignment="1" applyProtection="1">
      <alignment horizontal="left"/>
      <protection/>
    </xf>
    <xf numFmtId="0" fontId="1" fillId="40" borderId="37" xfId="0" applyFont="1" applyFill="1" applyBorder="1" applyAlignment="1" applyProtection="1">
      <alignment horizontal="left"/>
      <protection/>
    </xf>
    <xf numFmtId="0" fontId="1" fillId="40" borderId="38" xfId="0" applyFon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2" fontId="0" fillId="0" borderId="17" xfId="0" applyNumberForma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168" fontId="0" fillId="0" borderId="17" xfId="0" applyNumberFormat="1" applyBorder="1" applyAlignment="1" applyProtection="1">
      <alignment horizontal="right"/>
      <protection/>
    </xf>
    <xf numFmtId="168" fontId="0" fillId="0" borderId="16" xfId="0" applyNumberFormat="1" applyBorder="1" applyAlignment="1" applyProtection="1">
      <alignment horizontal="right"/>
      <protection/>
    </xf>
    <xf numFmtId="3" fontId="0" fillId="0" borderId="15" xfId="0" applyNumberFormat="1" applyBorder="1" applyAlignment="1" applyProtection="1">
      <alignment horizontal="right"/>
      <protection/>
    </xf>
    <xf numFmtId="0" fontId="11" fillId="41" borderId="44" xfId="0" applyFont="1" applyFill="1" applyBorder="1" applyAlignment="1" applyProtection="1">
      <alignment horizontal="center"/>
      <protection/>
    </xf>
    <xf numFmtId="0" fontId="11" fillId="41" borderId="14" xfId="0" applyFont="1" applyFill="1" applyBorder="1" applyAlignment="1" applyProtection="1">
      <alignment horizontal="center"/>
      <protection/>
    </xf>
    <xf numFmtId="0" fontId="11" fillId="41" borderId="45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3" fontId="0" fillId="0" borderId="39" xfId="0" applyNumberForma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40" xfId="0" applyNumberFormat="1" applyBorder="1" applyAlignment="1" applyProtection="1">
      <alignment horizontal="right"/>
      <protection/>
    </xf>
    <xf numFmtId="2" fontId="0" fillId="0" borderId="50" xfId="0" applyNumberFormat="1" applyBorder="1" applyAlignment="1" applyProtection="1">
      <alignment horizontal="right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33" borderId="0" xfId="0" applyFont="1" applyFill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0" xfId="0" applyNumberFormat="1" applyFill="1" applyBorder="1" applyAlignment="1">
      <alignment horizontal="right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0" fillId="0" borderId="4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123825</xdr:rowOff>
    </xdr:from>
    <xdr:to>
      <xdr:col>6</xdr:col>
      <xdr:colOff>47625</xdr:colOff>
      <xdr:row>10</xdr:row>
      <xdr:rowOff>104775</xdr:rowOff>
    </xdr:to>
    <xdr:grpSp>
      <xdr:nvGrpSpPr>
        <xdr:cNvPr id="1" name="Group 30"/>
        <xdr:cNvGrpSpPr>
          <a:grpSpLocks/>
        </xdr:cNvGrpSpPr>
      </xdr:nvGrpSpPr>
      <xdr:grpSpPr>
        <a:xfrm>
          <a:off x="200025" y="285750"/>
          <a:ext cx="3505200" cy="1438275"/>
          <a:chOff x="120" y="49"/>
          <a:chExt cx="365" cy="151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20" y="81"/>
            <a:ext cx="320" cy="119"/>
            <a:chOff x="128" y="34"/>
            <a:chExt cx="320" cy="119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28" y="34"/>
              <a:ext cx="320" cy="1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2"/>
            <xdr:cNvSpPr>
              <a:spLocks/>
            </xdr:cNvSpPr>
          </xdr:nvSpPr>
          <xdr:spPr>
            <a:xfrm>
              <a:off x="215" y="68"/>
              <a:ext cx="196" cy="5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 flipV="1">
              <a:off x="411" y="34"/>
              <a:ext cx="37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4"/>
            <xdr:cNvSpPr>
              <a:spLocks/>
            </xdr:cNvSpPr>
          </xdr:nvSpPr>
          <xdr:spPr>
            <a:xfrm>
              <a:off x="412" y="119"/>
              <a:ext cx="36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 flipH="1" flipV="1">
              <a:off x="129" y="34"/>
              <a:ext cx="86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128" y="119"/>
              <a:ext cx="87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Line 9"/>
          <xdr:cNvSpPr>
            <a:spLocks/>
          </xdr:cNvSpPr>
        </xdr:nvSpPr>
        <xdr:spPr>
          <a:xfrm>
            <a:off x="120" y="65"/>
            <a:ext cx="32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440" y="65"/>
            <a:ext cx="0" cy="16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V="1">
            <a:off x="120" y="65"/>
            <a:ext cx="0" cy="16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 flipV="1">
            <a:off x="465" y="79"/>
            <a:ext cx="0" cy="12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>
            <a:off x="440" y="200"/>
            <a:ext cx="2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440" y="81"/>
            <a:ext cx="2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267" y="49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TL</a:t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466" y="126"/>
            <a:ext cx="1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 vert="vert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TW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206" y="154"/>
            <a:ext cx="19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 flipH="1" flipV="1">
            <a:off x="227" y="115"/>
            <a:ext cx="0" cy="5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4"/>
          <xdr:cNvSpPr txBox="1">
            <a:spLocks noChangeArrowheads="1"/>
          </xdr:cNvSpPr>
        </xdr:nvSpPr>
        <xdr:spPr>
          <a:xfrm>
            <a:off x="288" y="138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BL</a:t>
            </a:r>
          </a:p>
        </xdr:txBody>
      </xdr:sp>
      <xdr:sp>
        <xdr:nvSpPr>
          <xdr:cNvPr id="20" name="Text Box 25"/>
          <xdr:cNvSpPr txBox="1">
            <a:spLocks noChangeArrowheads="1"/>
          </xdr:cNvSpPr>
        </xdr:nvSpPr>
        <xdr:spPr>
          <a:xfrm>
            <a:off x="225" y="127"/>
            <a:ext cx="1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 vert="vert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BW</a:t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273" y="173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S3</a:t>
            </a:r>
          </a:p>
        </xdr:txBody>
      </xdr:sp>
      <xdr:sp>
        <xdr:nvSpPr>
          <xdr:cNvPr id="22" name="Text Box 27"/>
          <xdr:cNvSpPr txBox="1">
            <a:spLocks noChangeArrowheads="1"/>
          </xdr:cNvSpPr>
        </xdr:nvSpPr>
        <xdr:spPr>
          <a:xfrm>
            <a:off x="410" y="127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S2</a:t>
            </a:r>
          </a:p>
        </xdr:txBody>
      </xdr:sp>
      <xdr:sp>
        <xdr:nvSpPr>
          <xdr:cNvPr id="23" name="Text Box 28"/>
          <xdr:cNvSpPr txBox="1">
            <a:spLocks noChangeArrowheads="1"/>
          </xdr:cNvSpPr>
        </xdr:nvSpPr>
        <xdr:spPr>
          <a:xfrm>
            <a:off x="276" y="88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S1</a:t>
            </a:r>
          </a:p>
        </xdr:txBody>
      </xdr:sp>
      <xdr:sp>
        <xdr:nvSpPr>
          <xdr:cNvPr id="24" name="Text Box 29"/>
          <xdr:cNvSpPr txBox="1">
            <a:spLocks noChangeArrowheads="1"/>
          </xdr:cNvSpPr>
        </xdr:nvSpPr>
        <xdr:spPr>
          <a:xfrm>
            <a:off x="148" y="128"/>
            <a:ext cx="1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S4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142875</xdr:rowOff>
    </xdr:from>
    <xdr:to>
      <xdr:col>15</xdr:col>
      <xdr:colOff>38100</xdr:colOff>
      <xdr:row>18</xdr:row>
      <xdr:rowOff>114300</xdr:rowOff>
    </xdr:to>
    <xdr:sp>
      <xdr:nvSpPr>
        <xdr:cNvPr id="1" name="Flowchart: Manual Operation 8"/>
        <xdr:cNvSpPr>
          <a:spLocks/>
        </xdr:cNvSpPr>
      </xdr:nvSpPr>
      <xdr:spPr>
        <a:xfrm>
          <a:off x="3886200" y="523875"/>
          <a:ext cx="6686550" cy="2771775"/>
        </a:xfrm>
        <a:prstGeom prst="flowChartManualOperation">
          <a:avLst/>
        </a:prstGeom>
        <a:solidFill>
          <a:srgbClr val="DDD9C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</xdr:row>
      <xdr:rowOff>142875</xdr:rowOff>
    </xdr:from>
    <xdr:to>
      <xdr:col>14</xdr:col>
      <xdr:colOff>285750</xdr:colOff>
      <xdr:row>16</xdr:row>
      <xdr:rowOff>123825</xdr:rowOff>
    </xdr:to>
    <xdr:sp>
      <xdr:nvSpPr>
        <xdr:cNvPr id="2" name="Flowchart: Manual Operation 9"/>
        <xdr:cNvSpPr>
          <a:spLocks/>
        </xdr:cNvSpPr>
      </xdr:nvSpPr>
      <xdr:spPr>
        <a:xfrm>
          <a:off x="4257675" y="523875"/>
          <a:ext cx="5953125" cy="2457450"/>
        </a:xfrm>
        <a:prstGeom prst="flowChartManualOperation">
          <a:avLst/>
        </a:prstGeom>
        <a:solidFill>
          <a:srgbClr val="948A5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142875</xdr:rowOff>
    </xdr:from>
    <xdr:to>
      <xdr:col>13</xdr:col>
      <xdr:colOff>523875</xdr:colOff>
      <xdr:row>14</xdr:row>
      <xdr:rowOff>133350</xdr:rowOff>
    </xdr:to>
    <xdr:sp>
      <xdr:nvSpPr>
        <xdr:cNvPr id="3" name="Flowchart: Manual Operation 10"/>
        <xdr:cNvSpPr>
          <a:spLocks/>
        </xdr:cNvSpPr>
      </xdr:nvSpPr>
      <xdr:spPr>
        <a:xfrm>
          <a:off x="4629150" y="523875"/>
          <a:ext cx="5210175" cy="2105025"/>
        </a:xfrm>
        <a:prstGeom prst="flowChartManualOperat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16</xdr:row>
      <xdr:rowOff>123825</xdr:rowOff>
    </xdr:from>
    <xdr:to>
      <xdr:col>10</xdr:col>
      <xdr:colOff>200025</xdr:colOff>
      <xdr:row>18</xdr:row>
      <xdr:rowOff>114300</xdr:rowOff>
    </xdr:to>
    <xdr:sp>
      <xdr:nvSpPr>
        <xdr:cNvPr id="4" name="Straight Arrow Connector 36"/>
        <xdr:cNvSpPr>
          <a:spLocks/>
        </xdr:cNvSpPr>
      </xdr:nvSpPr>
      <xdr:spPr>
        <a:xfrm rot="5400000" flipH="1" flipV="1">
          <a:off x="7686675" y="29813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</xdr:row>
      <xdr:rowOff>133350</xdr:rowOff>
    </xdr:from>
    <xdr:to>
      <xdr:col>8</xdr:col>
      <xdr:colOff>323850</xdr:colOff>
      <xdr:row>16</xdr:row>
      <xdr:rowOff>123825</xdr:rowOff>
    </xdr:to>
    <xdr:sp>
      <xdr:nvSpPr>
        <xdr:cNvPr id="5" name="Straight Arrow Connector 39"/>
        <xdr:cNvSpPr>
          <a:spLocks/>
        </xdr:cNvSpPr>
      </xdr:nvSpPr>
      <xdr:spPr>
        <a:xfrm rot="5400000" flipH="1" flipV="1">
          <a:off x="6581775" y="262890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342900</xdr:colOff>
      <xdr:row>14</xdr:row>
      <xdr:rowOff>123825</xdr:rowOff>
    </xdr:from>
    <xdr:ext cx="314325" cy="361950"/>
    <xdr:sp>
      <xdr:nvSpPr>
        <xdr:cNvPr id="6" name="TextBox 42"/>
        <xdr:cNvSpPr txBox="1">
          <a:spLocks noChangeArrowheads="1"/>
        </xdr:cNvSpPr>
      </xdr:nvSpPr>
      <xdr:spPr>
        <a:xfrm>
          <a:off x="6610350" y="261937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8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10</xdr:col>
      <xdr:colOff>266700</xdr:colOff>
      <xdr:row>16</xdr:row>
      <xdr:rowOff>76200</xdr:rowOff>
    </xdr:from>
    <xdr:ext cx="314325" cy="361950"/>
    <xdr:sp>
      <xdr:nvSpPr>
        <xdr:cNvPr id="7" name="TextBox 43"/>
        <xdr:cNvSpPr txBox="1">
          <a:spLocks noChangeArrowheads="1"/>
        </xdr:cNvSpPr>
      </xdr:nvSpPr>
      <xdr:spPr>
        <a:xfrm>
          <a:off x="7753350" y="2933700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8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21.140625" style="49" customWidth="1"/>
    <col min="2" max="2" width="9.00390625" style="49" customWidth="1"/>
    <col min="3" max="3" width="7.421875" style="49" customWidth="1"/>
    <col min="4" max="4" width="5.8515625" style="49" customWidth="1"/>
    <col min="5" max="5" width="8.421875" style="49" customWidth="1"/>
    <col min="6" max="6" width="3.28125" style="49" customWidth="1"/>
    <col min="7" max="7" width="1.7109375" style="49" customWidth="1"/>
    <col min="8" max="16384" width="9.140625" style="49" customWidth="1"/>
  </cols>
  <sheetData>
    <row r="1" spans="1:6" ht="24" thickBot="1">
      <c r="A1" s="121" t="s">
        <v>30</v>
      </c>
      <c r="B1" s="122"/>
      <c r="C1" s="123"/>
      <c r="E1" s="50"/>
      <c r="F1" s="49" t="str">
        <f>"= Enterable Cells"</f>
        <v>= Enterable Cells</v>
      </c>
    </row>
    <row r="2" spans="1:3" ht="12.75">
      <c r="A2" s="51" t="s">
        <v>31</v>
      </c>
      <c r="B2" s="31">
        <v>150</v>
      </c>
      <c r="C2" s="52" t="s">
        <v>35</v>
      </c>
    </row>
    <row r="3" spans="1:3" ht="12.75">
      <c r="A3" s="53" t="s">
        <v>32</v>
      </c>
      <c r="B3" s="32">
        <v>350</v>
      </c>
      <c r="C3" s="54" t="s">
        <v>35</v>
      </c>
    </row>
    <row r="4" spans="1:3" ht="12.75">
      <c r="A4" s="53" t="s">
        <v>33</v>
      </c>
      <c r="B4" s="33">
        <v>12</v>
      </c>
      <c r="C4" s="54" t="s">
        <v>35</v>
      </c>
    </row>
    <row r="5" spans="1:3" ht="12.75">
      <c r="A5" s="53" t="s">
        <v>34</v>
      </c>
      <c r="B5" s="34">
        <v>3</v>
      </c>
      <c r="C5" s="54" t="s">
        <v>2</v>
      </c>
    </row>
    <row r="6" spans="1:3" ht="12.75">
      <c r="A6" s="53" t="s">
        <v>29</v>
      </c>
      <c r="B6" s="35">
        <v>1</v>
      </c>
      <c r="C6" s="55" t="s">
        <v>35</v>
      </c>
    </row>
    <row r="7" spans="1:3" ht="12.75">
      <c r="A7" s="53" t="s">
        <v>64</v>
      </c>
      <c r="B7" s="30">
        <v>1</v>
      </c>
      <c r="C7" s="54" t="s">
        <v>35</v>
      </c>
    </row>
    <row r="8" spans="1:3" ht="12.75">
      <c r="A8" s="114" t="s">
        <v>87</v>
      </c>
      <c r="B8" s="115"/>
      <c r="C8" s="116"/>
    </row>
    <row r="9" spans="1:3" ht="12.75" hidden="1">
      <c r="A9" s="114" t="s">
        <v>10</v>
      </c>
      <c r="B9" s="115"/>
      <c r="C9" s="116"/>
    </row>
    <row r="10" spans="1:3" ht="12.75">
      <c r="A10" s="56" t="s">
        <v>8</v>
      </c>
      <c r="B10" s="30">
        <v>2</v>
      </c>
      <c r="C10" s="54" t="s">
        <v>35</v>
      </c>
    </row>
    <row r="11" spans="1:4" ht="12.75">
      <c r="A11" s="86" t="s">
        <v>12</v>
      </c>
      <c r="B11" s="87">
        <v>1E-07</v>
      </c>
      <c r="C11" s="54" t="s">
        <v>14</v>
      </c>
      <c r="D11" s="88" t="b">
        <v>0</v>
      </c>
    </row>
    <row r="12" spans="1:3" ht="12.75" hidden="1">
      <c r="A12" s="114" t="s">
        <v>86</v>
      </c>
      <c r="B12" s="115"/>
      <c r="C12" s="116"/>
    </row>
    <row r="13" spans="1:3" ht="12.75" hidden="1">
      <c r="A13" s="56" t="s">
        <v>8</v>
      </c>
      <c r="B13" s="30">
        <v>2</v>
      </c>
      <c r="C13" s="54" t="s">
        <v>35</v>
      </c>
    </row>
    <row r="14" spans="1:3" ht="13.5" hidden="1" thickBot="1">
      <c r="A14" s="57" t="s">
        <v>12</v>
      </c>
      <c r="B14" s="37">
        <v>1.05E-07</v>
      </c>
      <c r="C14" s="58" t="s">
        <v>14</v>
      </c>
    </row>
    <row r="15" ht="13.5" thickBot="1"/>
    <row r="16" spans="1:6" ht="21" thickBot="1">
      <c r="A16" s="130" t="s">
        <v>36</v>
      </c>
      <c r="B16" s="131"/>
      <c r="C16" s="131"/>
      <c r="D16" s="131"/>
      <c r="E16" s="131"/>
      <c r="F16" s="132"/>
    </row>
    <row r="17" spans="1:6" ht="15.75" thickBot="1">
      <c r="A17" s="142" t="s">
        <v>105</v>
      </c>
      <c r="B17" s="143"/>
      <c r="C17" s="143"/>
      <c r="D17" s="143"/>
      <c r="E17" s="143"/>
      <c r="F17" s="144"/>
    </row>
    <row r="18" spans="1:6" ht="12.75" customHeight="1">
      <c r="A18" s="153" t="s">
        <v>106</v>
      </c>
      <c r="B18" s="154"/>
      <c r="C18" s="159">
        <f>'Bottom Seepage'!B21</f>
        <v>600.345977952756</v>
      </c>
      <c r="D18" s="160"/>
      <c r="E18" s="124" t="s">
        <v>25</v>
      </c>
      <c r="F18" s="125"/>
    </row>
    <row r="19" spans="1:6" ht="12.75">
      <c r="A19" s="155"/>
      <c r="B19" s="156"/>
      <c r="C19" s="139">
        <f>1/(C18/7.48/43560*12)</f>
        <v>45.22792022792022</v>
      </c>
      <c r="D19" s="140"/>
      <c r="E19" s="151" t="s">
        <v>40</v>
      </c>
      <c r="F19" s="152"/>
    </row>
    <row r="20" spans="1:6" ht="12.75" customHeight="1">
      <c r="A20" s="133" t="s">
        <v>107</v>
      </c>
      <c r="B20" s="134"/>
      <c r="C20" s="137">
        <f>'Side Slope Seepage'!J8</f>
        <v>321.59437526588795</v>
      </c>
      <c r="D20" s="138"/>
      <c r="E20" s="126" t="s">
        <v>25</v>
      </c>
      <c r="F20" s="127"/>
    </row>
    <row r="21" spans="1:6" ht="12.75">
      <c r="A21" s="135"/>
      <c r="B21" s="136"/>
      <c r="C21" s="139">
        <f>1/(C20/7.48/43560*12)</f>
        <v>84.43058115537913</v>
      </c>
      <c r="D21" s="140"/>
      <c r="E21" s="126" t="s">
        <v>40</v>
      </c>
      <c r="F21" s="127"/>
    </row>
    <row r="22" spans="1:6" ht="12.75" customHeight="1">
      <c r="A22" s="113" t="s">
        <v>109</v>
      </c>
      <c r="B22" s="149" t="str">
        <f>IF(AND(C19&gt;=56,C21&gt;=56),"Compliant","Non-Compliant")</f>
        <v>Non-Compliant</v>
      </c>
      <c r="C22" s="149"/>
      <c r="D22" s="149"/>
      <c r="E22" s="149"/>
      <c r="F22" s="150"/>
    </row>
    <row r="23" spans="1:6" ht="13.5" thickBot="1">
      <c r="A23" s="145" t="s">
        <v>108</v>
      </c>
      <c r="B23" s="146"/>
      <c r="C23" s="146"/>
      <c r="D23" s="146"/>
      <c r="E23" s="146"/>
      <c r="F23" s="147"/>
    </row>
    <row r="24" spans="1:6" ht="15.75" thickBot="1">
      <c r="A24" s="142" t="s">
        <v>26</v>
      </c>
      <c r="B24" s="143"/>
      <c r="C24" s="143"/>
      <c r="D24" s="143"/>
      <c r="E24" s="143"/>
      <c r="F24" s="144"/>
    </row>
    <row r="25" spans="1:6" ht="14.25" customHeight="1">
      <c r="A25" s="117" t="s">
        <v>78</v>
      </c>
      <c r="B25" s="118"/>
      <c r="C25" s="141">
        <f>IF((MOD(B4-B6,1))&lt;&gt;0,'Basin Volume'!E4,LOOKUP((B4-B6),'Basin Volume'!A12:A62,'Basin Volume'!E12:E62))</f>
        <v>383724</v>
      </c>
      <c r="D25" s="141"/>
      <c r="E25" s="126" t="s">
        <v>37</v>
      </c>
      <c r="F25" s="127"/>
    </row>
    <row r="26" spans="1:6" ht="12.75">
      <c r="A26" s="117"/>
      <c r="B26" s="118"/>
      <c r="C26" s="141">
        <f>IF((MOD(B4-B6,1))&lt;&gt;0,'Basin Volume'!E5,LOOKUP((B4-B6),'Basin Volume'!A12:A62,'Basin Volume'!F12:F62))</f>
        <v>2870255.52</v>
      </c>
      <c r="D26" s="141"/>
      <c r="E26" s="128" t="s">
        <v>39</v>
      </c>
      <c r="F26" s="129"/>
    </row>
    <row r="27" spans="1:6" ht="14.25" customHeight="1">
      <c r="A27" s="117" t="s">
        <v>79</v>
      </c>
      <c r="B27" s="118"/>
      <c r="C27" s="141">
        <f>'Basin Volume'!E8</f>
        <v>360960</v>
      </c>
      <c r="D27" s="141"/>
      <c r="E27" s="126" t="s">
        <v>37</v>
      </c>
      <c r="F27" s="127"/>
    </row>
    <row r="28" spans="1:6" ht="13.5" thickBot="1">
      <c r="A28" s="119"/>
      <c r="B28" s="120"/>
      <c r="C28" s="148">
        <f>'Basin Volume'!E9</f>
        <v>2699980.8</v>
      </c>
      <c r="D28" s="148"/>
      <c r="E28" s="157" t="s">
        <v>39</v>
      </c>
      <c r="F28" s="158"/>
    </row>
    <row r="30" spans="1:7" ht="17.25">
      <c r="A30" s="59" t="s">
        <v>38</v>
      </c>
      <c r="B30" s="60"/>
      <c r="C30" s="60"/>
      <c r="D30" s="60"/>
      <c r="E30" s="60"/>
      <c r="F30" s="60"/>
      <c r="G30" s="60"/>
    </row>
    <row r="31" ht="12.75"/>
    <row r="32" ht="12.75"/>
    <row r="33" ht="12.75"/>
    <row r="34" ht="12.75"/>
    <row r="35" ht="12.75"/>
    <row r="36" ht="12.75"/>
    <row r="37" ht="12.75"/>
    <row r="38" ht="12.75"/>
    <row r="39" ht="13.5" thickBot="1"/>
    <row r="40" spans="1:7" ht="18" thickBot="1">
      <c r="A40" s="92" t="s">
        <v>89</v>
      </c>
      <c r="B40" s="93"/>
      <c r="C40" s="93"/>
      <c r="D40" s="91"/>
      <c r="E40" s="75"/>
      <c r="F40" s="75"/>
      <c r="G40" s="75"/>
    </row>
    <row r="41" spans="1:4" ht="12.75">
      <c r="A41" s="76"/>
      <c r="B41" s="77"/>
      <c r="C41" s="77"/>
      <c r="D41" s="78"/>
    </row>
    <row r="42" spans="1:4" ht="12.75">
      <c r="A42" s="79"/>
      <c r="B42" s="80">
        <f>Average_K*i/0.1</f>
        <v>0.0184251968503937</v>
      </c>
      <c r="C42" s="82" t="s">
        <v>15</v>
      </c>
      <c r="D42" s="81"/>
    </row>
    <row r="43" spans="1:4" ht="12.75">
      <c r="A43" s="79"/>
      <c r="B43" s="82"/>
      <c r="C43" s="82"/>
      <c r="D43" s="81"/>
    </row>
    <row r="44" spans="1:4" ht="10.5" customHeight="1">
      <c r="A44" s="79"/>
      <c r="B44" s="82"/>
      <c r="C44" s="82"/>
      <c r="D44" s="81"/>
    </row>
    <row r="45" spans="1:4" ht="12.75">
      <c r="A45" s="79" t="s">
        <v>85</v>
      </c>
      <c r="B45" s="82"/>
      <c r="C45" s="82"/>
      <c r="D45" s="81"/>
    </row>
    <row r="46" spans="1:4" ht="12.75">
      <c r="A46" s="79" t="s">
        <v>83</v>
      </c>
      <c r="B46" s="82"/>
      <c r="C46" s="82"/>
      <c r="D46" s="81"/>
    </row>
    <row r="47" spans="1:4" ht="15">
      <c r="A47" s="79" t="s">
        <v>84</v>
      </c>
      <c r="B47" s="82"/>
      <c r="C47" s="82"/>
      <c r="D47" s="81"/>
    </row>
    <row r="48" spans="1:4" ht="6.75" customHeight="1" thickBot="1">
      <c r="A48" s="83"/>
      <c r="B48" s="84"/>
      <c r="C48" s="84"/>
      <c r="D48" s="85"/>
    </row>
  </sheetData>
  <sheetProtection sheet="1"/>
  <protectedRanges>
    <protectedRange sqref="B10:B14 B2:B8" name="Range2"/>
  </protectedRanges>
  <mergeCells count="30">
    <mergeCell ref="C28:D28"/>
    <mergeCell ref="B22:C22"/>
    <mergeCell ref="D22:F22"/>
    <mergeCell ref="E19:F19"/>
    <mergeCell ref="C26:D26"/>
    <mergeCell ref="A18:B19"/>
    <mergeCell ref="A25:B26"/>
    <mergeCell ref="E27:F27"/>
    <mergeCell ref="E28:F28"/>
    <mergeCell ref="C18:D18"/>
    <mergeCell ref="C19:D19"/>
    <mergeCell ref="C25:D25"/>
    <mergeCell ref="C27:D27"/>
    <mergeCell ref="A17:F17"/>
    <mergeCell ref="A9:C9"/>
    <mergeCell ref="A12:C12"/>
    <mergeCell ref="C21:D21"/>
    <mergeCell ref="E21:F21"/>
    <mergeCell ref="A24:F24"/>
    <mergeCell ref="A23:F23"/>
    <mergeCell ref="A8:C8"/>
    <mergeCell ref="A27:B28"/>
    <mergeCell ref="A1:C1"/>
    <mergeCell ref="E18:F18"/>
    <mergeCell ref="E25:F25"/>
    <mergeCell ref="E26:F26"/>
    <mergeCell ref="A16:F16"/>
    <mergeCell ref="A20:B21"/>
    <mergeCell ref="C20:D20"/>
    <mergeCell ref="E20:F20"/>
  </mergeCells>
  <conditionalFormatting sqref="C19:D19">
    <cfRule type="iconSet" priority="7" dxfId="4">
      <iconSet iconSet="3Flags">
        <cfvo type="percent" val="0"/>
        <cfvo type="num" val="56"/>
        <cfvo type="num" val="60"/>
      </iconSet>
    </cfRule>
  </conditionalFormatting>
  <conditionalFormatting sqref="C21:D21">
    <cfRule type="iconSet" priority="5" dxfId="4">
      <iconSet iconSet="3Flags">
        <cfvo type="percent" val="0"/>
        <cfvo type="num" val="56"/>
        <cfvo type="num" val="60"/>
      </iconSet>
    </cfRule>
  </conditionalFormatting>
  <conditionalFormatting sqref="B22:D22">
    <cfRule type="containsText" priority="1" dxfId="5" operator="containsText" stopIfTrue="1" text="Non-Compliant">
      <formula>NOT(ISERROR(SEARCH("Non-Compliant",B22)))</formula>
    </cfRule>
    <cfRule type="containsText" priority="2" dxfId="4" operator="containsText" stopIfTrue="1" text="Compliant">
      <formula>NOT(ISERROR(SEARCH("Compliant",B22)))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106634" r:id="rId1"/>
    <oleObject progId="Equation.3" shapeId="5594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5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14.7109375" style="0" customWidth="1"/>
    <col min="2" max="2" width="10.00390625" style="0" customWidth="1"/>
    <col min="3" max="3" width="13.140625" style="0" customWidth="1"/>
    <col min="4" max="4" width="6.421875" style="0" customWidth="1"/>
    <col min="5" max="5" width="5.8515625" style="0" customWidth="1"/>
    <col min="6" max="6" width="4.57421875" style="0" customWidth="1"/>
    <col min="7" max="7" width="3.140625" style="0" customWidth="1"/>
  </cols>
  <sheetData>
    <row r="1" spans="1:7" ht="24">
      <c r="A1" s="163" t="s">
        <v>80</v>
      </c>
      <c r="B1" s="163"/>
      <c r="C1" s="163"/>
      <c r="D1" s="163"/>
      <c r="E1" s="163"/>
      <c r="F1" s="163"/>
      <c r="G1" s="163"/>
    </row>
    <row r="2" spans="1:7" ht="12.75">
      <c r="A2" t="s">
        <v>0</v>
      </c>
      <c r="B2" s="23">
        <f>'Basin Information'!B2</f>
        <v>150</v>
      </c>
      <c r="C2" t="s">
        <v>6</v>
      </c>
      <c r="D2" s="25">
        <f>'Basin Information'!B3</f>
        <v>350</v>
      </c>
      <c r="E2" t="s">
        <v>1</v>
      </c>
      <c r="F2" s="23">
        <f>'Basin Information'!B5</f>
        <v>3</v>
      </c>
      <c r="G2" t="s">
        <v>2</v>
      </c>
    </row>
    <row r="3" spans="1:6" ht="12.75">
      <c r="A3" t="s">
        <v>8</v>
      </c>
      <c r="B3" s="23">
        <f>'Basin Information'!B10</f>
        <v>2</v>
      </c>
      <c r="C3" s="1" t="s">
        <v>7</v>
      </c>
      <c r="D3" s="24">
        <f>Depth-'Basin Information'!B6</f>
        <v>11</v>
      </c>
      <c r="E3" t="s">
        <v>5</v>
      </c>
      <c r="F3" s="29">
        <f>'Basin Information'!B4</f>
        <v>12</v>
      </c>
    </row>
    <row r="4" spans="1:3" ht="12.75">
      <c r="A4" t="s">
        <v>12</v>
      </c>
      <c r="B4" s="36">
        <f>IF('Basin Information'!D11=TRUE,('Basin Information'!B11+'Basin Information'!B14)/2,'Basin Information'!B11)</f>
        <v>1E-07</v>
      </c>
      <c r="C4" s="94" t="s">
        <v>88</v>
      </c>
    </row>
    <row r="5" spans="1:3" ht="12.75">
      <c r="A5" t="s">
        <v>12</v>
      </c>
      <c r="B5" s="3">
        <f>B4*86400/30.48</f>
        <v>0.0002834645669291339</v>
      </c>
      <c r="C5" t="s">
        <v>15</v>
      </c>
    </row>
    <row r="7" spans="1:7" ht="13.5" thickBot="1">
      <c r="A7" s="2" t="s">
        <v>75</v>
      </c>
      <c r="B7" s="2"/>
      <c r="C7" s="2"/>
      <c r="D7" s="2"/>
      <c r="E7" s="2"/>
      <c r="F7" s="2"/>
      <c r="G7" s="2"/>
    </row>
    <row r="8" spans="1:7" ht="12.75">
      <c r="A8" s="161" t="s">
        <v>21</v>
      </c>
      <c r="B8" s="21">
        <f>'Bottom Seepage'!B15</f>
        <v>39.9531968503937</v>
      </c>
      <c r="C8" s="5" t="s">
        <v>17</v>
      </c>
      <c r="D8" s="5"/>
      <c r="E8" s="5"/>
      <c r="F8" s="5"/>
      <c r="G8" s="6"/>
    </row>
    <row r="9" spans="1:7" ht="13.5" thickBot="1">
      <c r="A9" s="162"/>
      <c r="B9" s="22">
        <f>B8*7.48</f>
        <v>298.84991244094493</v>
      </c>
      <c r="C9" s="8" t="s">
        <v>23</v>
      </c>
      <c r="D9" s="8"/>
      <c r="E9" s="8"/>
      <c r="F9" s="8"/>
      <c r="G9" s="10"/>
    </row>
    <row r="10" spans="1:7" ht="12.75">
      <c r="A10" s="161" t="s">
        <v>22</v>
      </c>
      <c r="B10" s="21">
        <f>Bottom_Area</f>
        <v>21684</v>
      </c>
      <c r="C10" s="5" t="s">
        <v>13</v>
      </c>
      <c r="D10" s="5"/>
      <c r="E10" s="5"/>
      <c r="F10" s="5"/>
      <c r="G10" s="6"/>
    </row>
    <row r="11" spans="1:7" ht="13.5" thickBot="1">
      <c r="A11" s="162"/>
      <c r="B11" s="9">
        <f>B10/43560</f>
        <v>0.4977961432506887</v>
      </c>
      <c r="C11" s="8" t="s">
        <v>24</v>
      </c>
      <c r="D11" s="8"/>
      <c r="E11" s="8"/>
      <c r="F11" s="8"/>
      <c r="G11" s="10"/>
    </row>
    <row r="13" spans="1:7" ht="13.5" thickBot="1">
      <c r="A13" s="2" t="s">
        <v>76</v>
      </c>
      <c r="B13" s="2"/>
      <c r="C13" s="2"/>
      <c r="D13" s="2"/>
      <c r="E13" s="2"/>
      <c r="F13" s="2"/>
      <c r="G13" s="2"/>
    </row>
    <row r="14" spans="1:7" ht="12.75">
      <c r="A14" s="164" t="s">
        <v>21</v>
      </c>
      <c r="B14" s="66">
        <f>'Side Slope Seepage'!J2</f>
        <v>28.977045792383073</v>
      </c>
      <c r="C14" s="5" t="s">
        <v>17</v>
      </c>
      <c r="D14" s="67"/>
      <c r="E14" s="67"/>
      <c r="F14" s="67"/>
      <c r="G14" s="68"/>
    </row>
    <row r="15" spans="1:7" ht="13.5" thickBot="1">
      <c r="A15" s="165"/>
      <c r="B15" s="69">
        <f>B14*7.48</f>
        <v>216.7483025270254</v>
      </c>
      <c r="C15" s="8" t="s">
        <v>23</v>
      </c>
      <c r="D15" s="70"/>
      <c r="E15" s="70"/>
      <c r="F15" s="70"/>
      <c r="G15" s="71"/>
    </row>
    <row r="16" spans="1:7" ht="12.75">
      <c r="A16" s="161" t="s">
        <v>22</v>
      </c>
      <c r="B16" s="66">
        <f>'Side Slope Seepage'!J5</f>
        <v>29358.585797003238</v>
      </c>
      <c r="C16" s="5" t="s">
        <v>13</v>
      </c>
      <c r="D16" s="67"/>
      <c r="E16" s="67"/>
      <c r="F16" s="67"/>
      <c r="G16" s="68"/>
    </row>
    <row r="17" spans="1:7" ht="13.5" thickBot="1">
      <c r="A17" s="162"/>
      <c r="B17" s="69">
        <f>B16/43560</f>
        <v>0.6739803901975031</v>
      </c>
      <c r="C17" s="8" t="s">
        <v>24</v>
      </c>
      <c r="D17" s="70"/>
      <c r="E17" s="70"/>
      <c r="F17" s="70"/>
      <c r="G17" s="71"/>
    </row>
    <row r="18" spans="1:3" ht="12.75">
      <c r="A18" s="23"/>
      <c r="B18" s="23"/>
      <c r="C18" s="23"/>
    </row>
    <row r="19" spans="1:7" ht="13.5" thickBot="1">
      <c r="A19" s="2" t="s">
        <v>77</v>
      </c>
      <c r="B19" s="2"/>
      <c r="C19" s="2"/>
      <c r="D19" s="2"/>
      <c r="E19" s="2"/>
      <c r="F19" s="2"/>
      <c r="G19" s="2"/>
    </row>
    <row r="20" spans="1:7" ht="12.75">
      <c r="A20" s="161" t="s">
        <v>21</v>
      </c>
      <c r="B20" s="21">
        <f>B8+B14</f>
        <v>68.93024264277678</v>
      </c>
      <c r="C20" s="5" t="s">
        <v>17</v>
      </c>
      <c r="D20" s="5"/>
      <c r="E20" s="5"/>
      <c r="F20" s="5"/>
      <c r="G20" s="6"/>
    </row>
    <row r="21" spans="1:7" ht="13.5" thickBot="1">
      <c r="A21" s="162"/>
      <c r="B21" s="22">
        <f>B20*7.48</f>
        <v>515.5982149679703</v>
      </c>
      <c r="C21" s="8" t="s">
        <v>23</v>
      </c>
      <c r="D21" s="8"/>
      <c r="E21" s="8"/>
      <c r="F21" s="8"/>
      <c r="G21" s="10"/>
    </row>
    <row r="22" spans="1:7" ht="12.75">
      <c r="A22" s="161" t="s">
        <v>22</v>
      </c>
      <c r="B22" s="21">
        <f>B10+B16</f>
        <v>51042.58579700324</v>
      </c>
      <c r="C22" s="5" t="s">
        <v>13</v>
      </c>
      <c r="D22" s="5"/>
      <c r="E22" s="5"/>
      <c r="F22" s="5"/>
      <c r="G22" s="6"/>
    </row>
    <row r="23" spans="1:7" ht="13.5" thickBot="1">
      <c r="A23" s="162"/>
      <c r="B23" s="9">
        <f>B22/43560</f>
        <v>1.1717765334481918</v>
      </c>
      <c r="C23" s="8" t="s">
        <v>24</v>
      </c>
      <c r="D23" s="8"/>
      <c r="E23" s="8"/>
      <c r="F23" s="8"/>
      <c r="G23" s="10"/>
    </row>
    <row r="24" spans="1:3" ht="12.75">
      <c r="A24" s="13"/>
      <c r="B24" s="7"/>
      <c r="C24" s="7"/>
    </row>
    <row r="25" spans="1:3" ht="12.75">
      <c r="A25" s="27" t="s">
        <v>68</v>
      </c>
      <c r="B25" s="28">
        <f>B21/B23</f>
        <v>440.014115533375</v>
      </c>
      <c r="C25" s="27" t="s">
        <v>25</v>
      </c>
    </row>
  </sheetData>
  <sheetProtection sheet="1" objects="1" scenarios="1"/>
  <mergeCells count="7">
    <mergeCell ref="A22:A23"/>
    <mergeCell ref="A1:G1"/>
    <mergeCell ref="A14:A15"/>
    <mergeCell ref="A20:A21"/>
    <mergeCell ref="A8:A9"/>
    <mergeCell ref="A10:A11"/>
    <mergeCell ref="A16:A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25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14.7109375" style="0" customWidth="1"/>
    <col min="2" max="2" width="10.00390625" style="0" customWidth="1"/>
    <col min="3" max="3" width="13.140625" style="0" customWidth="1"/>
    <col min="4" max="4" width="6.421875" style="0" customWidth="1"/>
    <col min="5" max="5" width="5.8515625" style="0" customWidth="1"/>
    <col min="6" max="6" width="4.57421875" style="0" customWidth="1"/>
    <col min="7" max="7" width="2.7109375" style="0" customWidth="1"/>
  </cols>
  <sheetData>
    <row r="1" spans="1:7" ht="24">
      <c r="A1" s="163" t="s">
        <v>80</v>
      </c>
      <c r="B1" s="163"/>
      <c r="C1" s="163"/>
      <c r="D1" s="163"/>
      <c r="E1" s="163"/>
      <c r="F1" s="163"/>
      <c r="G1" s="163"/>
    </row>
    <row r="2" spans="1:7" ht="12.75">
      <c r="A2" t="s">
        <v>0</v>
      </c>
      <c r="B2" s="23">
        <f>'Basin Information'!B2</f>
        <v>150</v>
      </c>
      <c r="C2" t="s">
        <v>6</v>
      </c>
      <c r="D2" s="25">
        <f>'Basin Information'!B3</f>
        <v>350</v>
      </c>
      <c r="E2" t="s">
        <v>1</v>
      </c>
      <c r="F2" s="23">
        <f>'Basin Information'!B5</f>
        <v>3</v>
      </c>
      <c r="G2" t="s">
        <v>2</v>
      </c>
    </row>
    <row r="3" spans="1:6" ht="12.75">
      <c r="A3" t="s">
        <v>8</v>
      </c>
      <c r="B3" s="23">
        <f>'Basin Information'!B10</f>
        <v>2</v>
      </c>
      <c r="C3" s="1" t="s">
        <v>7</v>
      </c>
      <c r="D3" s="24">
        <f>Depth-'Basin Information'!B6</f>
        <v>11</v>
      </c>
      <c r="E3" t="s">
        <v>5</v>
      </c>
      <c r="F3" s="29">
        <f>'Basin Information'!B4</f>
        <v>12</v>
      </c>
    </row>
    <row r="4" ht="12.75">
      <c r="G4" s="1"/>
    </row>
    <row r="5" spans="1:4" ht="12.75">
      <c r="A5" t="s">
        <v>3</v>
      </c>
      <c r="B5">
        <f>Top_Length-2*(Depth*Slope)</f>
        <v>78</v>
      </c>
      <c r="C5" t="s">
        <v>4</v>
      </c>
      <c r="D5">
        <f>Top_Width-2*(Depth*Slope)</f>
        <v>278</v>
      </c>
    </row>
    <row r="6" spans="3:4" ht="12.75">
      <c r="C6" t="s">
        <v>9</v>
      </c>
      <c r="D6">
        <f>(Design_HWL+Liner_Thickness)/Liner_Thickness</f>
        <v>6.5</v>
      </c>
    </row>
    <row r="8" spans="1:7" ht="12.75">
      <c r="A8" s="2" t="s">
        <v>10</v>
      </c>
      <c r="B8" s="2"/>
      <c r="C8" s="2"/>
      <c r="D8" s="2"/>
      <c r="E8" s="2"/>
      <c r="F8" s="2"/>
      <c r="G8" s="2"/>
    </row>
    <row r="9" spans="1:3" ht="12.75">
      <c r="A9" t="s">
        <v>11</v>
      </c>
      <c r="B9" s="20">
        <f>B5*D5</f>
        <v>21684</v>
      </c>
      <c r="C9" t="s">
        <v>13</v>
      </c>
    </row>
    <row r="10" spans="1:3" ht="12.75">
      <c r="A10" t="s">
        <v>12</v>
      </c>
      <c r="B10" s="89">
        <f>'Basin Information'!B11</f>
        <v>1E-07</v>
      </c>
      <c r="C10" t="s">
        <v>14</v>
      </c>
    </row>
    <row r="11" spans="1:3" ht="12.75">
      <c r="A11" t="s">
        <v>12</v>
      </c>
      <c r="B11" s="3">
        <f>B10*86400/30.48</f>
        <v>0.0002834645669291339</v>
      </c>
      <c r="C11" t="s">
        <v>15</v>
      </c>
    </row>
    <row r="12" spans="1:3" ht="12.75">
      <c r="A12" t="s">
        <v>16</v>
      </c>
      <c r="B12" s="4">
        <f>Average_K*i*Bottom_Area</f>
        <v>39.9531968503937</v>
      </c>
      <c r="C12" t="s">
        <v>17</v>
      </c>
    </row>
    <row r="14" spans="1:7" ht="13.5" thickBot="1">
      <c r="A14" s="2" t="s">
        <v>65</v>
      </c>
      <c r="B14" s="2"/>
      <c r="C14" s="2"/>
      <c r="D14" s="2"/>
      <c r="E14" s="2"/>
      <c r="F14" s="2"/>
      <c r="G14" s="2"/>
    </row>
    <row r="15" spans="1:7" ht="12.75">
      <c r="A15" s="161" t="s">
        <v>21</v>
      </c>
      <c r="B15" s="21">
        <f>B12</f>
        <v>39.9531968503937</v>
      </c>
      <c r="C15" s="5" t="s">
        <v>17</v>
      </c>
      <c r="D15" s="5"/>
      <c r="E15" s="5"/>
      <c r="F15" s="5"/>
      <c r="G15" s="6"/>
    </row>
    <row r="16" spans="1:7" ht="13.5" thickBot="1">
      <c r="A16" s="162"/>
      <c r="B16" s="22">
        <f>B15*7.48</f>
        <v>298.84991244094493</v>
      </c>
      <c r="C16" s="8" t="s">
        <v>23</v>
      </c>
      <c r="D16" s="8"/>
      <c r="E16" s="8"/>
      <c r="F16" s="8"/>
      <c r="G16" s="10"/>
    </row>
    <row r="17" spans="1:7" ht="13.5" thickBot="1">
      <c r="A17" s="11"/>
      <c r="B17" s="14"/>
      <c r="C17" s="12"/>
      <c r="D17" s="12"/>
      <c r="E17" s="12"/>
      <c r="F17" s="12"/>
      <c r="G17" s="12"/>
    </row>
    <row r="18" spans="1:7" ht="12.75">
      <c r="A18" s="161" t="s">
        <v>22</v>
      </c>
      <c r="B18" s="21">
        <f>Bottom_Area</f>
        <v>21684</v>
      </c>
      <c r="C18" s="5" t="s">
        <v>13</v>
      </c>
      <c r="D18" s="5"/>
      <c r="E18" s="5"/>
      <c r="F18" s="5"/>
      <c r="G18" s="6"/>
    </row>
    <row r="19" spans="1:7" ht="13.5" thickBot="1">
      <c r="A19" s="162"/>
      <c r="B19" s="9">
        <f>B18/43560</f>
        <v>0.4977961432506887</v>
      </c>
      <c r="C19" s="8" t="s">
        <v>24</v>
      </c>
      <c r="D19" s="8"/>
      <c r="E19" s="8"/>
      <c r="F19" s="8"/>
      <c r="G19" s="10"/>
    </row>
    <row r="20" spans="1:7" ht="12.75">
      <c r="A20" s="13"/>
      <c r="B20" s="7"/>
      <c r="C20" s="7"/>
      <c r="D20" s="7"/>
      <c r="E20" s="7"/>
      <c r="F20" s="7"/>
      <c r="G20" s="7"/>
    </row>
    <row r="21" spans="1:3" ht="12.75">
      <c r="A21" s="27" t="s">
        <v>68</v>
      </c>
      <c r="B21" s="28">
        <f>B16/B19</f>
        <v>600.345977952756</v>
      </c>
      <c r="C21" s="27" t="s">
        <v>25</v>
      </c>
    </row>
    <row r="24" ht="12.75">
      <c r="B24" s="65"/>
    </row>
    <row r="25" ht="12.75">
      <c r="B25" s="4"/>
    </row>
  </sheetData>
  <sheetProtection sheet="1" objects="1" scenarios="1"/>
  <mergeCells count="3">
    <mergeCell ref="A18:A19"/>
    <mergeCell ref="A1:G1"/>
    <mergeCell ref="A15:A1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71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.7109375" style="0" customWidth="1"/>
    <col min="6" max="8" width="11.421875" style="0" customWidth="1"/>
    <col min="9" max="9" width="13.57421875" style="0" customWidth="1"/>
    <col min="10" max="10" width="11.421875" style="0" customWidth="1"/>
    <col min="11" max="11" width="12.140625" style="0" customWidth="1"/>
  </cols>
  <sheetData>
    <row r="1" spans="1:11" ht="24.75" thickBot="1">
      <c r="A1" s="169" t="s">
        <v>80</v>
      </c>
      <c r="B1" s="169"/>
      <c r="C1" s="169"/>
      <c r="D1" s="169"/>
      <c r="E1" s="169"/>
      <c r="F1" s="169"/>
      <c r="G1" s="169"/>
      <c r="I1" s="72" t="s">
        <v>67</v>
      </c>
      <c r="J1" s="72"/>
      <c r="K1" s="72"/>
    </row>
    <row r="2" spans="1:11" ht="12.75">
      <c r="A2" t="s">
        <v>0</v>
      </c>
      <c r="B2" s="23">
        <f>'Basin Information'!B2</f>
        <v>150</v>
      </c>
      <c r="C2" t="s">
        <v>6</v>
      </c>
      <c r="D2" s="25">
        <f>'Basin Information'!B3</f>
        <v>350</v>
      </c>
      <c r="I2" s="167" t="s">
        <v>81</v>
      </c>
      <c r="J2" s="21">
        <f>SUMIF(A11:A71,"&lt;="&amp;Design_HWL,K11:K71)</f>
        <v>28.977045792383073</v>
      </c>
      <c r="K2" s="6" t="s">
        <v>17</v>
      </c>
    </row>
    <row r="3" spans="1:11" ht="13.5" thickBot="1">
      <c r="A3" t="s">
        <v>3</v>
      </c>
      <c r="B3">
        <f>Top_Length-2*(Depth*Slope)</f>
        <v>78</v>
      </c>
      <c r="C3" t="s">
        <v>4</v>
      </c>
      <c r="D3">
        <f>Top_Width-2*(Depth*Slope)</f>
        <v>278</v>
      </c>
      <c r="F3" s="23"/>
      <c r="I3" s="168"/>
      <c r="J3" s="22">
        <f>J2*7.48</f>
        <v>216.7483025270254</v>
      </c>
      <c r="K3" s="10" t="s">
        <v>23</v>
      </c>
    </row>
    <row r="4" spans="1:11" ht="13.5" thickBot="1">
      <c r="A4" s="1" t="s">
        <v>7</v>
      </c>
      <c r="B4" s="24">
        <f>Depth-'Basin Information'!B6</f>
        <v>11</v>
      </c>
      <c r="C4" t="s">
        <v>5</v>
      </c>
      <c r="D4" s="29">
        <f>'Basin Information'!B4</f>
        <v>12</v>
      </c>
      <c r="I4" s="11"/>
      <c r="J4" s="14"/>
      <c r="K4" s="12"/>
    </row>
    <row r="5" spans="1:11" ht="12.75">
      <c r="A5" t="s">
        <v>8</v>
      </c>
      <c r="B5" s="23">
        <f>IF('Basin Information'!D11=TRUE,'Basin Information'!B13,'Basin Information'!B10)</f>
        <v>2</v>
      </c>
      <c r="C5" t="s">
        <v>1</v>
      </c>
      <c r="D5" s="23">
        <f>'Basin Information'!B5</f>
        <v>3</v>
      </c>
      <c r="E5" t="s">
        <v>2</v>
      </c>
      <c r="I5" s="167" t="s">
        <v>82</v>
      </c>
      <c r="J5" s="21">
        <f>SUMIF(A11:A71,"&lt;="&amp;Design_HWL,J11:J71)</f>
        <v>29358.585797003238</v>
      </c>
      <c r="K5" s="6" t="s">
        <v>13</v>
      </c>
    </row>
    <row r="6" spans="1:11" ht="13.5" thickBot="1">
      <c r="A6" t="s">
        <v>12</v>
      </c>
      <c r="B6" s="36">
        <f>IF('Basin Information'!D11=TRUE,'Basin Information'!B14,'Basin Information'!B11)</f>
        <v>1E-07</v>
      </c>
      <c r="C6" t="s">
        <v>14</v>
      </c>
      <c r="I6" s="168"/>
      <c r="J6" s="9">
        <f>J5/43560</f>
        <v>0.6739803901975031</v>
      </c>
      <c r="K6" s="10" t="s">
        <v>24</v>
      </c>
    </row>
    <row r="7" spans="1:14" ht="12.75">
      <c r="A7" t="s">
        <v>12</v>
      </c>
      <c r="B7" s="3">
        <f>B6*86400/30.48</f>
        <v>0.0002834645669291339</v>
      </c>
      <c r="C7" t="s">
        <v>15</v>
      </c>
      <c r="I7" s="13"/>
      <c r="J7" s="7"/>
      <c r="K7" s="7"/>
      <c r="L7" s="7"/>
      <c r="M7" s="7"/>
      <c r="N7" s="7"/>
    </row>
    <row r="8" spans="9:11" ht="12.75">
      <c r="I8" s="61" t="s">
        <v>68</v>
      </c>
      <c r="J8" s="28">
        <f>J3/J6</f>
        <v>321.59437526588795</v>
      </c>
      <c r="K8" s="27" t="s">
        <v>25</v>
      </c>
    </row>
    <row r="9" spans="1:11" ht="12.7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23" customFormat="1" ht="25.5" customHeight="1">
      <c r="A10" s="62" t="s">
        <v>28</v>
      </c>
      <c r="B10" s="62" t="s">
        <v>9</v>
      </c>
      <c r="C10" s="62" t="s">
        <v>66</v>
      </c>
      <c r="D10" s="170" t="s">
        <v>69</v>
      </c>
      <c r="E10" s="171"/>
      <c r="F10" s="64" t="s">
        <v>70</v>
      </c>
      <c r="G10" s="64" t="s">
        <v>71</v>
      </c>
      <c r="H10" s="64" t="s">
        <v>72</v>
      </c>
      <c r="I10" s="64" t="s">
        <v>73</v>
      </c>
      <c r="J10" s="64" t="s">
        <v>22</v>
      </c>
      <c r="K10" s="64" t="s">
        <v>74</v>
      </c>
    </row>
    <row r="11" spans="1:11" s="23" customFormat="1" ht="12.75">
      <c r="A11" s="63">
        <v>0</v>
      </c>
      <c r="B11" s="63">
        <f aca="true" t="shared" si="0" ref="B11:B42">IF(A11&lt;=Depth,(Design_HWL-A11+Liner_Thickness)/Liner_Thickness,"")</f>
        <v>6.5</v>
      </c>
      <c r="C11" s="73">
        <v>0</v>
      </c>
      <c r="D11" s="166">
        <f>Bottom_Length</f>
        <v>78</v>
      </c>
      <c r="E11" s="166"/>
      <c r="F11" s="74">
        <f>Bottom_Width</f>
        <v>278</v>
      </c>
      <c r="G11" s="73">
        <v>0</v>
      </c>
      <c r="H11" s="73">
        <v>0</v>
      </c>
      <c r="I11" s="73">
        <v>0</v>
      </c>
      <c r="J11" s="73">
        <f>SUM(G11:I11)</f>
        <v>0</v>
      </c>
      <c r="K11" s="73">
        <f>Average_K*B11*J11</f>
        <v>0</v>
      </c>
    </row>
    <row r="12" spans="1:11" s="23" customFormat="1" ht="12.75">
      <c r="A12" s="63">
        <f aca="true" t="shared" si="1" ref="A12:A43">IF(A11&lt;Depth,A11+0.5,"")</f>
        <v>0.5</v>
      </c>
      <c r="B12" s="63">
        <f t="shared" si="0"/>
        <v>6.25</v>
      </c>
      <c r="C12" s="73">
        <f aca="true" t="shared" si="2" ref="C12:C43">IF(A12&lt;=Depth,SQRT((A12-A11)^2+(Slope*(A12-A11))^2),"")</f>
        <v>1.5811388300841898</v>
      </c>
      <c r="D12" s="166">
        <f aca="true" t="shared" si="3" ref="D12:D43">IF($A12&lt;=Depth+0.5,Top_Length-(2*Slope*(Depth-$A12)),"")</f>
        <v>81</v>
      </c>
      <c r="E12" s="166"/>
      <c r="F12" s="74">
        <f aca="true" t="shared" si="4" ref="F12:F43">IF($A12&lt;=Depth+0.5,Top_Width-(2*Slope*(Depth-$A12)),"")</f>
        <v>281</v>
      </c>
      <c r="G12" s="73">
        <f aca="true" t="shared" si="5" ref="G12:G43">IF(A12&lt;=Depth,2*C12*D11,"")</f>
        <v>246.6576574931336</v>
      </c>
      <c r="H12" s="73">
        <f aca="true" t="shared" si="6" ref="H12:H43">IF(A12&lt;=Depth,2*C12*F11,"")</f>
        <v>879.1131895268095</v>
      </c>
      <c r="I12" s="73">
        <f aca="true" t="shared" si="7" ref="I12:I43">IF(A12&lt;=Depth,4*C12*(D12-D11)/2,"")</f>
        <v>9.486832980505138</v>
      </c>
      <c r="J12" s="73">
        <f aca="true" t="shared" si="8" ref="J12:J43">IF(A12&lt;=Depth,SUM(G12:I12),"")</f>
        <v>1135.2576800004483</v>
      </c>
      <c r="K12" s="73">
        <f aca="true" t="shared" si="9" ref="K12:K43">IF(A12&lt;=Depth,Average_K*B12*J12,"")</f>
        <v>2.011283291339377</v>
      </c>
    </row>
    <row r="13" spans="1:11" s="23" customFormat="1" ht="12.75">
      <c r="A13" s="63">
        <f t="shared" si="1"/>
        <v>1</v>
      </c>
      <c r="B13" s="63">
        <f t="shared" si="0"/>
        <v>6</v>
      </c>
      <c r="C13" s="73">
        <f t="shared" si="2"/>
        <v>1.5811388300841898</v>
      </c>
      <c r="D13" s="166">
        <f t="shared" si="3"/>
        <v>84</v>
      </c>
      <c r="E13" s="166"/>
      <c r="F13" s="74">
        <f t="shared" si="4"/>
        <v>284</v>
      </c>
      <c r="G13" s="73">
        <f t="shared" si="5"/>
        <v>256.14449047363877</v>
      </c>
      <c r="H13" s="73">
        <f t="shared" si="6"/>
        <v>888.6000225073146</v>
      </c>
      <c r="I13" s="73">
        <f t="shared" si="7"/>
        <v>9.486832980505138</v>
      </c>
      <c r="J13" s="73">
        <f t="shared" si="8"/>
        <v>1154.2313459614586</v>
      </c>
      <c r="K13" s="73">
        <f t="shared" si="9"/>
        <v>1.9631021317139772</v>
      </c>
    </row>
    <row r="14" spans="1:11" s="23" customFormat="1" ht="12.75">
      <c r="A14" s="63">
        <f t="shared" si="1"/>
        <v>1.5</v>
      </c>
      <c r="B14" s="63">
        <f t="shared" si="0"/>
        <v>5.75</v>
      </c>
      <c r="C14" s="73">
        <f t="shared" si="2"/>
        <v>1.5811388300841898</v>
      </c>
      <c r="D14" s="166">
        <f t="shared" si="3"/>
        <v>87</v>
      </c>
      <c r="E14" s="166"/>
      <c r="F14" s="74">
        <f t="shared" si="4"/>
        <v>287</v>
      </c>
      <c r="G14" s="73">
        <f t="shared" si="5"/>
        <v>265.63132345414385</v>
      </c>
      <c r="H14" s="73">
        <f t="shared" si="6"/>
        <v>898.0868554878198</v>
      </c>
      <c r="I14" s="73">
        <f t="shared" si="7"/>
        <v>9.486832980505138</v>
      </c>
      <c r="J14" s="73">
        <f t="shared" si="8"/>
        <v>1173.2050119224689</v>
      </c>
      <c r="K14" s="73">
        <f t="shared" si="9"/>
        <v>1.912231791086229</v>
      </c>
    </row>
    <row r="15" spans="1:11" s="23" customFormat="1" ht="12.75">
      <c r="A15" s="63">
        <f t="shared" si="1"/>
        <v>2</v>
      </c>
      <c r="B15" s="63">
        <f t="shared" si="0"/>
        <v>5.5</v>
      </c>
      <c r="C15" s="73">
        <f t="shared" si="2"/>
        <v>1.5811388300841898</v>
      </c>
      <c r="D15" s="166">
        <f t="shared" si="3"/>
        <v>90</v>
      </c>
      <c r="E15" s="166"/>
      <c r="F15" s="74">
        <f t="shared" si="4"/>
        <v>290</v>
      </c>
      <c r="G15" s="73">
        <f t="shared" si="5"/>
        <v>275.118156434649</v>
      </c>
      <c r="H15" s="73">
        <f t="shared" si="6"/>
        <v>907.5736884683249</v>
      </c>
      <c r="I15" s="73">
        <f t="shared" si="7"/>
        <v>9.486832980505138</v>
      </c>
      <c r="J15" s="73">
        <f t="shared" si="8"/>
        <v>1192.1786778834792</v>
      </c>
      <c r="K15" s="73">
        <f t="shared" si="9"/>
        <v>1.858672269456133</v>
      </c>
    </row>
    <row r="16" spans="1:11" s="23" customFormat="1" ht="12.75">
      <c r="A16" s="63">
        <f t="shared" si="1"/>
        <v>2.5</v>
      </c>
      <c r="B16" s="63">
        <f t="shared" si="0"/>
        <v>5.25</v>
      </c>
      <c r="C16" s="73">
        <f t="shared" si="2"/>
        <v>1.5811388300841898</v>
      </c>
      <c r="D16" s="166">
        <f t="shared" si="3"/>
        <v>93</v>
      </c>
      <c r="E16" s="166"/>
      <c r="F16" s="74">
        <f t="shared" si="4"/>
        <v>293</v>
      </c>
      <c r="G16" s="73">
        <f t="shared" si="5"/>
        <v>284.60498941515414</v>
      </c>
      <c r="H16" s="73">
        <f t="shared" si="6"/>
        <v>917.0605214488301</v>
      </c>
      <c r="I16" s="73">
        <f t="shared" si="7"/>
        <v>9.486832980505138</v>
      </c>
      <c r="J16" s="73">
        <f t="shared" si="8"/>
        <v>1211.1523438444895</v>
      </c>
      <c r="K16" s="73">
        <f t="shared" si="9"/>
        <v>1.8024235668236892</v>
      </c>
    </row>
    <row r="17" spans="1:11" s="23" customFormat="1" ht="12.75">
      <c r="A17" s="63">
        <f t="shared" si="1"/>
        <v>3</v>
      </c>
      <c r="B17" s="63">
        <f t="shared" si="0"/>
        <v>5</v>
      </c>
      <c r="C17" s="73">
        <f t="shared" si="2"/>
        <v>1.5811388300841898</v>
      </c>
      <c r="D17" s="166">
        <f t="shared" si="3"/>
        <v>96</v>
      </c>
      <c r="E17" s="166"/>
      <c r="F17" s="74">
        <f t="shared" si="4"/>
        <v>296</v>
      </c>
      <c r="G17" s="73">
        <f t="shared" si="5"/>
        <v>294.0918223956593</v>
      </c>
      <c r="H17" s="73">
        <f t="shared" si="6"/>
        <v>926.5473544293352</v>
      </c>
      <c r="I17" s="73">
        <f t="shared" si="7"/>
        <v>9.486832980505138</v>
      </c>
      <c r="J17" s="73">
        <f t="shared" si="8"/>
        <v>1230.1260098054997</v>
      </c>
      <c r="K17" s="73">
        <f t="shared" si="9"/>
        <v>1.7434856831888974</v>
      </c>
    </row>
    <row r="18" spans="1:11" s="23" customFormat="1" ht="12.75">
      <c r="A18" s="63">
        <f t="shared" si="1"/>
        <v>3.5</v>
      </c>
      <c r="B18" s="63">
        <f t="shared" si="0"/>
        <v>4.75</v>
      </c>
      <c r="C18" s="73">
        <f t="shared" si="2"/>
        <v>1.5811388300841898</v>
      </c>
      <c r="D18" s="166">
        <f t="shared" si="3"/>
        <v>99</v>
      </c>
      <c r="E18" s="166"/>
      <c r="F18" s="74">
        <f t="shared" si="4"/>
        <v>299</v>
      </c>
      <c r="G18" s="73">
        <f t="shared" si="5"/>
        <v>303.5786553761644</v>
      </c>
      <c r="H18" s="73">
        <f t="shared" si="6"/>
        <v>936.0341874098403</v>
      </c>
      <c r="I18" s="73">
        <f t="shared" si="7"/>
        <v>9.486832980505138</v>
      </c>
      <c r="J18" s="73">
        <f t="shared" si="8"/>
        <v>1249.09967576651</v>
      </c>
      <c r="K18" s="73">
        <f t="shared" si="9"/>
        <v>1.6818586185517577</v>
      </c>
    </row>
    <row r="19" spans="1:11" s="23" customFormat="1" ht="12.75">
      <c r="A19" s="63">
        <f t="shared" si="1"/>
        <v>4</v>
      </c>
      <c r="B19" s="63">
        <f t="shared" si="0"/>
        <v>4.5</v>
      </c>
      <c r="C19" s="73">
        <f t="shared" si="2"/>
        <v>1.5811388300841898</v>
      </c>
      <c r="D19" s="166">
        <f t="shared" si="3"/>
        <v>102</v>
      </c>
      <c r="E19" s="166"/>
      <c r="F19" s="74">
        <f t="shared" si="4"/>
        <v>302</v>
      </c>
      <c r="G19" s="73">
        <f t="shared" si="5"/>
        <v>313.06548835666956</v>
      </c>
      <c r="H19" s="73">
        <f t="shared" si="6"/>
        <v>945.5210203903455</v>
      </c>
      <c r="I19" s="73">
        <f t="shared" si="7"/>
        <v>9.486832980505138</v>
      </c>
      <c r="J19" s="73">
        <f t="shared" si="8"/>
        <v>1268.0733417275203</v>
      </c>
      <c r="K19" s="73">
        <f t="shared" si="9"/>
        <v>1.6175423729122702</v>
      </c>
    </row>
    <row r="20" spans="1:11" s="23" customFormat="1" ht="12.75">
      <c r="A20" s="63">
        <f t="shared" si="1"/>
        <v>4.5</v>
      </c>
      <c r="B20" s="63">
        <f t="shared" si="0"/>
        <v>4.25</v>
      </c>
      <c r="C20" s="73">
        <f t="shared" si="2"/>
        <v>1.5811388300841898</v>
      </c>
      <c r="D20" s="166">
        <f t="shared" si="3"/>
        <v>105</v>
      </c>
      <c r="E20" s="166"/>
      <c r="F20" s="74">
        <f t="shared" si="4"/>
        <v>305</v>
      </c>
      <c r="G20" s="73">
        <f t="shared" si="5"/>
        <v>322.5523213371747</v>
      </c>
      <c r="H20" s="73">
        <f t="shared" si="6"/>
        <v>955.0078533708506</v>
      </c>
      <c r="I20" s="73">
        <f t="shared" si="7"/>
        <v>9.486832980505138</v>
      </c>
      <c r="J20" s="73">
        <f t="shared" si="8"/>
        <v>1287.0470076885306</v>
      </c>
      <c r="K20" s="73">
        <f t="shared" si="9"/>
        <v>1.5505369462704346</v>
      </c>
    </row>
    <row r="21" spans="1:11" s="23" customFormat="1" ht="12.75">
      <c r="A21" s="63">
        <f t="shared" si="1"/>
        <v>5</v>
      </c>
      <c r="B21" s="63">
        <f t="shared" si="0"/>
        <v>4</v>
      </c>
      <c r="C21" s="73">
        <f t="shared" si="2"/>
        <v>1.5811388300841898</v>
      </c>
      <c r="D21" s="166">
        <f t="shared" si="3"/>
        <v>108</v>
      </c>
      <c r="E21" s="166"/>
      <c r="F21" s="74">
        <f t="shared" si="4"/>
        <v>308</v>
      </c>
      <c r="G21" s="73">
        <f t="shared" si="5"/>
        <v>332.03915431767985</v>
      </c>
      <c r="H21" s="73">
        <f t="shared" si="6"/>
        <v>964.4946863513558</v>
      </c>
      <c r="I21" s="73">
        <f t="shared" si="7"/>
        <v>9.486832980505138</v>
      </c>
      <c r="J21" s="73">
        <f t="shared" si="8"/>
        <v>1306.0206736495409</v>
      </c>
      <c r="K21" s="73">
        <f t="shared" si="9"/>
        <v>1.4808423386262513</v>
      </c>
    </row>
    <row r="22" spans="1:11" s="23" customFormat="1" ht="12.75">
      <c r="A22" s="63">
        <f t="shared" si="1"/>
        <v>5.5</v>
      </c>
      <c r="B22" s="63">
        <f t="shared" si="0"/>
        <v>3.75</v>
      </c>
      <c r="C22" s="73">
        <f t="shared" si="2"/>
        <v>1.5811388300841898</v>
      </c>
      <c r="D22" s="166">
        <f t="shared" si="3"/>
        <v>111</v>
      </c>
      <c r="E22" s="166"/>
      <c r="F22" s="74">
        <f t="shared" si="4"/>
        <v>311</v>
      </c>
      <c r="G22" s="73">
        <f t="shared" si="5"/>
        <v>341.525987298185</v>
      </c>
      <c r="H22" s="73">
        <f t="shared" si="6"/>
        <v>973.9815193318609</v>
      </c>
      <c r="I22" s="73">
        <f t="shared" si="7"/>
        <v>9.486832980505138</v>
      </c>
      <c r="J22" s="73">
        <f t="shared" si="8"/>
        <v>1324.9943396105512</v>
      </c>
      <c r="K22" s="73">
        <f t="shared" si="9"/>
        <v>1.40845854997972</v>
      </c>
    </row>
    <row r="23" spans="1:11" s="23" customFormat="1" ht="12.75">
      <c r="A23" s="63">
        <f t="shared" si="1"/>
        <v>6</v>
      </c>
      <c r="B23" s="63">
        <f t="shared" si="0"/>
        <v>3.5</v>
      </c>
      <c r="C23" s="73">
        <f t="shared" si="2"/>
        <v>1.5811388300841898</v>
      </c>
      <c r="D23" s="166">
        <f t="shared" si="3"/>
        <v>114</v>
      </c>
      <c r="E23" s="166"/>
      <c r="F23" s="74">
        <f t="shared" si="4"/>
        <v>314</v>
      </c>
      <c r="G23" s="73">
        <f t="shared" si="5"/>
        <v>351.0128202786901</v>
      </c>
      <c r="H23" s="73">
        <f t="shared" si="6"/>
        <v>983.468352312366</v>
      </c>
      <c r="I23" s="73">
        <f t="shared" si="7"/>
        <v>9.486832980505138</v>
      </c>
      <c r="J23" s="73">
        <f t="shared" si="8"/>
        <v>1343.9680055715614</v>
      </c>
      <c r="K23" s="73">
        <f t="shared" si="9"/>
        <v>1.3333855803308405</v>
      </c>
    </row>
    <row r="24" spans="1:11" s="23" customFormat="1" ht="12.75">
      <c r="A24" s="63">
        <f t="shared" si="1"/>
        <v>6.5</v>
      </c>
      <c r="B24" s="63">
        <f t="shared" si="0"/>
        <v>3.25</v>
      </c>
      <c r="C24" s="73">
        <f t="shared" si="2"/>
        <v>1.5811388300841898</v>
      </c>
      <c r="D24" s="166">
        <f t="shared" si="3"/>
        <v>117</v>
      </c>
      <c r="E24" s="166"/>
      <c r="F24" s="74">
        <f t="shared" si="4"/>
        <v>317</v>
      </c>
      <c r="G24" s="73">
        <f t="shared" si="5"/>
        <v>360.49965325919527</v>
      </c>
      <c r="H24" s="73">
        <f t="shared" si="6"/>
        <v>992.9551852928712</v>
      </c>
      <c r="I24" s="73">
        <f t="shared" si="7"/>
        <v>9.486832980505138</v>
      </c>
      <c r="J24" s="73">
        <f t="shared" si="8"/>
        <v>1362.9416715325717</v>
      </c>
      <c r="K24" s="73">
        <f t="shared" si="9"/>
        <v>1.2556234296796134</v>
      </c>
    </row>
    <row r="25" spans="1:11" s="23" customFormat="1" ht="12.75">
      <c r="A25" s="63">
        <f t="shared" si="1"/>
        <v>7</v>
      </c>
      <c r="B25" s="63">
        <f t="shared" si="0"/>
        <v>3</v>
      </c>
      <c r="C25" s="73">
        <f t="shared" si="2"/>
        <v>1.5811388300841898</v>
      </c>
      <c r="D25" s="166">
        <f t="shared" si="3"/>
        <v>120</v>
      </c>
      <c r="E25" s="166"/>
      <c r="F25" s="74">
        <f t="shared" si="4"/>
        <v>320</v>
      </c>
      <c r="G25" s="73">
        <f t="shared" si="5"/>
        <v>369.9864862397004</v>
      </c>
      <c r="H25" s="73">
        <f t="shared" si="6"/>
        <v>1002.4420182733763</v>
      </c>
      <c r="I25" s="73">
        <f t="shared" si="7"/>
        <v>9.486832980505138</v>
      </c>
      <c r="J25" s="73">
        <f t="shared" si="8"/>
        <v>1381.915337493582</v>
      </c>
      <c r="K25" s="73">
        <f t="shared" si="9"/>
        <v>1.1751720980260385</v>
      </c>
    </row>
    <row r="26" spans="1:11" s="23" customFormat="1" ht="12.75">
      <c r="A26" s="63">
        <f t="shared" si="1"/>
        <v>7.5</v>
      </c>
      <c r="B26" s="63">
        <f t="shared" si="0"/>
        <v>2.75</v>
      </c>
      <c r="C26" s="73">
        <f t="shared" si="2"/>
        <v>1.5811388300841898</v>
      </c>
      <c r="D26" s="166">
        <f t="shared" si="3"/>
        <v>123</v>
      </c>
      <c r="E26" s="166"/>
      <c r="F26" s="74">
        <f t="shared" si="4"/>
        <v>323</v>
      </c>
      <c r="G26" s="73">
        <f t="shared" si="5"/>
        <v>379.47331922020555</v>
      </c>
      <c r="H26" s="73">
        <f t="shared" si="6"/>
        <v>1011.9288512538815</v>
      </c>
      <c r="I26" s="73">
        <f t="shared" si="7"/>
        <v>9.486832980505138</v>
      </c>
      <c r="J26" s="73">
        <f t="shared" si="8"/>
        <v>1400.8890034545923</v>
      </c>
      <c r="K26" s="73">
        <f t="shared" si="9"/>
        <v>1.0920315853701155</v>
      </c>
    </row>
    <row r="27" spans="1:11" s="23" customFormat="1" ht="12.75">
      <c r="A27" s="63">
        <f t="shared" si="1"/>
        <v>8</v>
      </c>
      <c r="B27" s="63">
        <f t="shared" si="0"/>
        <v>2.5</v>
      </c>
      <c r="C27" s="73">
        <f t="shared" si="2"/>
        <v>1.5811388300841898</v>
      </c>
      <c r="D27" s="166">
        <f t="shared" si="3"/>
        <v>126</v>
      </c>
      <c r="E27" s="166"/>
      <c r="F27" s="74">
        <f t="shared" si="4"/>
        <v>326</v>
      </c>
      <c r="G27" s="73">
        <f t="shared" si="5"/>
        <v>388.9601522007107</v>
      </c>
      <c r="H27" s="73">
        <f t="shared" si="6"/>
        <v>1021.4156842343866</v>
      </c>
      <c r="I27" s="73">
        <f t="shared" si="7"/>
        <v>9.486832980505138</v>
      </c>
      <c r="J27" s="73">
        <f t="shared" si="8"/>
        <v>1419.8626694156026</v>
      </c>
      <c r="K27" s="73">
        <f t="shared" si="9"/>
        <v>1.0062018917118445</v>
      </c>
    </row>
    <row r="28" spans="1:11" s="23" customFormat="1" ht="12.75">
      <c r="A28" s="63">
        <f t="shared" si="1"/>
        <v>8.5</v>
      </c>
      <c r="B28" s="63">
        <f t="shared" si="0"/>
        <v>2.25</v>
      </c>
      <c r="C28" s="73">
        <f t="shared" si="2"/>
        <v>1.5811388300841898</v>
      </c>
      <c r="D28" s="166">
        <f t="shared" si="3"/>
        <v>129</v>
      </c>
      <c r="E28" s="166"/>
      <c r="F28" s="74">
        <f t="shared" si="4"/>
        <v>329</v>
      </c>
      <c r="G28" s="73">
        <f t="shared" si="5"/>
        <v>398.44698518121584</v>
      </c>
      <c r="H28" s="73">
        <f t="shared" si="6"/>
        <v>1030.9025172148918</v>
      </c>
      <c r="I28" s="73">
        <f t="shared" si="7"/>
        <v>9.486832980505138</v>
      </c>
      <c r="J28" s="73">
        <f t="shared" si="8"/>
        <v>1438.8363353766129</v>
      </c>
      <c r="K28" s="73">
        <f t="shared" si="9"/>
        <v>0.9176830170512257</v>
      </c>
    </row>
    <row r="29" spans="1:11" s="23" customFormat="1" ht="12.75">
      <c r="A29" s="63">
        <f t="shared" si="1"/>
        <v>9</v>
      </c>
      <c r="B29" s="63">
        <f t="shared" si="0"/>
        <v>2</v>
      </c>
      <c r="C29" s="73">
        <f t="shared" si="2"/>
        <v>1.5811388300841898</v>
      </c>
      <c r="D29" s="166">
        <f t="shared" si="3"/>
        <v>132</v>
      </c>
      <c r="E29" s="166"/>
      <c r="F29" s="74">
        <f t="shared" si="4"/>
        <v>332</v>
      </c>
      <c r="G29" s="73">
        <f t="shared" si="5"/>
        <v>407.933818161721</v>
      </c>
      <c r="H29" s="73">
        <f t="shared" si="6"/>
        <v>1040.389350195397</v>
      </c>
      <c r="I29" s="73">
        <f t="shared" si="7"/>
        <v>9.486832980505138</v>
      </c>
      <c r="J29" s="73">
        <f t="shared" si="8"/>
        <v>1457.8100013376231</v>
      </c>
      <c r="K29" s="73">
        <f t="shared" si="9"/>
        <v>0.8264749613882588</v>
      </c>
    </row>
    <row r="30" spans="1:11" s="23" customFormat="1" ht="12.75">
      <c r="A30" s="63">
        <f t="shared" si="1"/>
        <v>9.5</v>
      </c>
      <c r="B30" s="63">
        <f t="shared" si="0"/>
        <v>1.75</v>
      </c>
      <c r="C30" s="73">
        <f t="shared" si="2"/>
        <v>1.5811388300841898</v>
      </c>
      <c r="D30" s="166">
        <f t="shared" si="3"/>
        <v>135</v>
      </c>
      <c r="E30" s="166"/>
      <c r="F30" s="74">
        <f t="shared" si="4"/>
        <v>335</v>
      </c>
      <c r="G30" s="73">
        <f t="shared" si="5"/>
        <v>417.4206511422261</v>
      </c>
      <c r="H30" s="73">
        <f t="shared" si="6"/>
        <v>1049.876183175902</v>
      </c>
      <c r="I30" s="73">
        <f t="shared" si="7"/>
        <v>9.486832980505138</v>
      </c>
      <c r="J30" s="73">
        <f t="shared" si="8"/>
        <v>1476.7836672986334</v>
      </c>
      <c r="K30" s="73">
        <f t="shared" si="9"/>
        <v>0.7325777247229441</v>
      </c>
    </row>
    <row r="31" spans="1:11" s="23" customFormat="1" ht="12.75">
      <c r="A31" s="63">
        <f t="shared" si="1"/>
        <v>10</v>
      </c>
      <c r="B31" s="63">
        <f t="shared" si="0"/>
        <v>1.5</v>
      </c>
      <c r="C31" s="73">
        <f t="shared" si="2"/>
        <v>1.5811388300841898</v>
      </c>
      <c r="D31" s="166">
        <f t="shared" si="3"/>
        <v>138</v>
      </c>
      <c r="E31" s="166"/>
      <c r="F31" s="74">
        <f t="shared" si="4"/>
        <v>338</v>
      </c>
      <c r="G31" s="73">
        <f t="shared" si="5"/>
        <v>426.90748412273126</v>
      </c>
      <c r="H31" s="73">
        <f t="shared" si="6"/>
        <v>1059.3630161564072</v>
      </c>
      <c r="I31" s="73">
        <f t="shared" si="7"/>
        <v>9.486832980505138</v>
      </c>
      <c r="J31" s="73">
        <f t="shared" si="8"/>
        <v>1495.7573332596437</v>
      </c>
      <c r="K31" s="73">
        <f t="shared" si="9"/>
        <v>0.6359913070552816</v>
      </c>
    </row>
    <row r="32" spans="1:11" s="23" customFormat="1" ht="12.75">
      <c r="A32" s="63">
        <f t="shared" si="1"/>
        <v>10.5</v>
      </c>
      <c r="B32" s="63">
        <f t="shared" si="0"/>
        <v>1.25</v>
      </c>
      <c r="C32" s="73">
        <f t="shared" si="2"/>
        <v>1.5811388300841898</v>
      </c>
      <c r="D32" s="166">
        <f t="shared" si="3"/>
        <v>141</v>
      </c>
      <c r="E32" s="166"/>
      <c r="F32" s="74">
        <f t="shared" si="4"/>
        <v>341</v>
      </c>
      <c r="G32" s="73">
        <f t="shared" si="5"/>
        <v>436.39431710323635</v>
      </c>
      <c r="H32" s="73">
        <f t="shared" si="6"/>
        <v>1068.8498491369123</v>
      </c>
      <c r="I32" s="73">
        <f t="shared" si="7"/>
        <v>9.486832980505138</v>
      </c>
      <c r="J32" s="73">
        <f t="shared" si="8"/>
        <v>1514.7309992206538</v>
      </c>
      <c r="K32" s="73">
        <f t="shared" si="9"/>
        <v>0.536715708385271</v>
      </c>
    </row>
    <row r="33" spans="1:11" s="23" customFormat="1" ht="12.75">
      <c r="A33" s="63">
        <f t="shared" si="1"/>
        <v>11</v>
      </c>
      <c r="B33" s="63">
        <f t="shared" si="0"/>
        <v>1</v>
      </c>
      <c r="C33" s="73">
        <f t="shared" si="2"/>
        <v>1.5811388300841898</v>
      </c>
      <c r="D33" s="166">
        <f t="shared" si="3"/>
        <v>144</v>
      </c>
      <c r="E33" s="166"/>
      <c r="F33" s="74">
        <f t="shared" si="4"/>
        <v>344</v>
      </c>
      <c r="G33" s="73">
        <f t="shared" si="5"/>
        <v>445.8811500837415</v>
      </c>
      <c r="H33" s="73">
        <f t="shared" si="6"/>
        <v>1078.3366821174175</v>
      </c>
      <c r="I33" s="73">
        <f t="shared" si="7"/>
        <v>9.486832980505138</v>
      </c>
      <c r="J33" s="73">
        <f t="shared" si="8"/>
        <v>1533.704665181664</v>
      </c>
      <c r="K33" s="73">
        <f t="shared" si="9"/>
        <v>0.43475092871291265</v>
      </c>
    </row>
    <row r="34" spans="1:11" s="23" customFormat="1" ht="12.75">
      <c r="A34" s="63">
        <f t="shared" si="1"/>
        <v>11.5</v>
      </c>
      <c r="B34" s="63">
        <f t="shared" si="0"/>
        <v>0.75</v>
      </c>
      <c r="C34" s="73">
        <f t="shared" si="2"/>
        <v>1.5811388300841898</v>
      </c>
      <c r="D34" s="166">
        <f t="shared" si="3"/>
        <v>147</v>
      </c>
      <c r="E34" s="166"/>
      <c r="F34" s="74">
        <f t="shared" si="4"/>
        <v>347</v>
      </c>
      <c r="G34" s="73">
        <f t="shared" si="5"/>
        <v>455.36798306424663</v>
      </c>
      <c r="H34" s="73">
        <f t="shared" si="6"/>
        <v>1087.8235150979226</v>
      </c>
      <c r="I34" s="73">
        <f t="shared" si="7"/>
        <v>9.486832980505138</v>
      </c>
      <c r="J34" s="73">
        <f t="shared" si="8"/>
        <v>1552.6783311426743</v>
      </c>
      <c r="K34" s="73">
        <f t="shared" si="9"/>
        <v>0.33009696803820643</v>
      </c>
    </row>
    <row r="35" spans="1:11" s="23" customFormat="1" ht="12.75">
      <c r="A35" s="63">
        <f t="shared" si="1"/>
        <v>12</v>
      </c>
      <c r="B35" s="63">
        <f t="shared" si="0"/>
        <v>0.5</v>
      </c>
      <c r="C35" s="73">
        <f t="shared" si="2"/>
        <v>1.5811388300841898</v>
      </c>
      <c r="D35" s="166">
        <f t="shared" si="3"/>
        <v>150</v>
      </c>
      <c r="E35" s="166"/>
      <c r="F35" s="74">
        <f t="shared" si="4"/>
        <v>350</v>
      </c>
      <c r="G35" s="73">
        <f t="shared" si="5"/>
        <v>464.8548160447518</v>
      </c>
      <c r="H35" s="73">
        <f t="shared" si="6"/>
        <v>1097.3103480784278</v>
      </c>
      <c r="I35" s="73">
        <f t="shared" si="7"/>
        <v>9.486832980505138</v>
      </c>
      <c r="J35" s="73">
        <f t="shared" si="8"/>
        <v>1571.6519971036846</v>
      </c>
      <c r="K35" s="73">
        <f t="shared" si="9"/>
        <v>0.22275382636115218</v>
      </c>
    </row>
    <row r="36" spans="1:11" s="23" customFormat="1" ht="12.75">
      <c r="A36" s="63">
        <f t="shared" si="1"/>
      </c>
      <c r="B36" s="63">
        <f t="shared" si="0"/>
      </c>
      <c r="C36" s="73">
        <f t="shared" si="2"/>
      </c>
      <c r="D36" s="166">
        <f t="shared" si="3"/>
      </c>
      <c r="E36" s="166"/>
      <c r="F36" s="74">
        <f t="shared" si="4"/>
      </c>
      <c r="G36" s="73">
        <f t="shared" si="5"/>
      </c>
      <c r="H36" s="73">
        <f t="shared" si="6"/>
      </c>
      <c r="I36" s="73">
        <f t="shared" si="7"/>
      </c>
      <c r="J36" s="73">
        <f t="shared" si="8"/>
      </c>
      <c r="K36" s="73">
        <f t="shared" si="9"/>
      </c>
    </row>
    <row r="37" spans="1:11" s="23" customFormat="1" ht="12.75">
      <c r="A37" s="63">
        <f t="shared" si="1"/>
      </c>
      <c r="B37" s="63">
        <f t="shared" si="0"/>
      </c>
      <c r="C37" s="73">
        <f t="shared" si="2"/>
      </c>
      <c r="D37" s="166">
        <f t="shared" si="3"/>
      </c>
      <c r="E37" s="166"/>
      <c r="F37" s="74">
        <f t="shared" si="4"/>
      </c>
      <c r="G37" s="73">
        <f t="shared" si="5"/>
      </c>
      <c r="H37" s="73">
        <f t="shared" si="6"/>
      </c>
      <c r="I37" s="73">
        <f t="shared" si="7"/>
      </c>
      <c r="J37" s="73">
        <f t="shared" si="8"/>
      </c>
      <c r="K37" s="73">
        <f t="shared" si="9"/>
      </c>
    </row>
    <row r="38" spans="1:11" s="23" customFormat="1" ht="12.75">
      <c r="A38" s="63">
        <f t="shared" si="1"/>
      </c>
      <c r="B38" s="63">
        <f t="shared" si="0"/>
      </c>
      <c r="C38" s="73">
        <f t="shared" si="2"/>
      </c>
      <c r="D38" s="166">
        <f t="shared" si="3"/>
      </c>
      <c r="E38" s="166"/>
      <c r="F38" s="74">
        <f t="shared" si="4"/>
      </c>
      <c r="G38" s="73">
        <f t="shared" si="5"/>
      </c>
      <c r="H38" s="73">
        <f t="shared" si="6"/>
      </c>
      <c r="I38" s="73">
        <f t="shared" si="7"/>
      </c>
      <c r="J38" s="73">
        <f t="shared" si="8"/>
      </c>
      <c r="K38" s="73">
        <f t="shared" si="9"/>
      </c>
    </row>
    <row r="39" spans="1:11" s="23" customFormat="1" ht="12.75">
      <c r="A39" s="63">
        <f t="shared" si="1"/>
      </c>
      <c r="B39" s="63">
        <f t="shared" si="0"/>
      </c>
      <c r="C39" s="73">
        <f t="shared" si="2"/>
      </c>
      <c r="D39" s="166">
        <f t="shared" si="3"/>
      </c>
      <c r="E39" s="166"/>
      <c r="F39" s="74">
        <f t="shared" si="4"/>
      </c>
      <c r="G39" s="73">
        <f t="shared" si="5"/>
      </c>
      <c r="H39" s="73">
        <f t="shared" si="6"/>
      </c>
      <c r="I39" s="73">
        <f t="shared" si="7"/>
      </c>
      <c r="J39" s="73">
        <f t="shared" si="8"/>
      </c>
      <c r="K39" s="73">
        <f t="shared" si="9"/>
      </c>
    </row>
    <row r="40" spans="1:11" s="23" customFormat="1" ht="12.75">
      <c r="A40" s="63">
        <f t="shared" si="1"/>
      </c>
      <c r="B40" s="63">
        <f t="shared" si="0"/>
      </c>
      <c r="C40" s="73">
        <f t="shared" si="2"/>
      </c>
      <c r="D40" s="166">
        <f t="shared" si="3"/>
      </c>
      <c r="E40" s="166"/>
      <c r="F40" s="74">
        <f t="shared" si="4"/>
      </c>
      <c r="G40" s="73">
        <f t="shared" si="5"/>
      </c>
      <c r="H40" s="73">
        <f t="shared" si="6"/>
      </c>
      <c r="I40" s="73">
        <f t="shared" si="7"/>
      </c>
      <c r="J40" s="73">
        <f t="shared" si="8"/>
      </c>
      <c r="K40" s="73">
        <f t="shared" si="9"/>
      </c>
    </row>
    <row r="41" spans="1:11" s="23" customFormat="1" ht="12.75">
      <c r="A41" s="63">
        <f t="shared" si="1"/>
      </c>
      <c r="B41" s="63">
        <f t="shared" si="0"/>
      </c>
      <c r="C41" s="73">
        <f t="shared" si="2"/>
      </c>
      <c r="D41" s="166">
        <f t="shared" si="3"/>
      </c>
      <c r="E41" s="166"/>
      <c r="F41" s="74">
        <f t="shared" si="4"/>
      </c>
      <c r="G41" s="73">
        <f t="shared" si="5"/>
      </c>
      <c r="H41" s="73">
        <f t="shared" si="6"/>
      </c>
      <c r="I41" s="73">
        <f t="shared" si="7"/>
      </c>
      <c r="J41" s="73">
        <f t="shared" si="8"/>
      </c>
      <c r="K41" s="73">
        <f t="shared" si="9"/>
      </c>
    </row>
    <row r="42" spans="1:11" s="23" customFormat="1" ht="12.75">
      <c r="A42" s="63">
        <f t="shared" si="1"/>
      </c>
      <c r="B42" s="63">
        <f t="shared" si="0"/>
      </c>
      <c r="C42" s="73">
        <f t="shared" si="2"/>
      </c>
      <c r="D42" s="166">
        <f t="shared" si="3"/>
      </c>
      <c r="E42" s="166"/>
      <c r="F42" s="74">
        <f t="shared" si="4"/>
      </c>
      <c r="G42" s="73">
        <f t="shared" si="5"/>
      </c>
      <c r="H42" s="73">
        <f t="shared" si="6"/>
      </c>
      <c r="I42" s="73">
        <f t="shared" si="7"/>
      </c>
      <c r="J42" s="73">
        <f t="shared" si="8"/>
      </c>
      <c r="K42" s="73">
        <f t="shared" si="9"/>
      </c>
    </row>
    <row r="43" spans="1:11" s="23" customFormat="1" ht="12.75">
      <c r="A43" s="63">
        <f t="shared" si="1"/>
      </c>
      <c r="B43" s="63">
        <f aca="true" t="shared" si="10" ref="B43:B71">IF(A43&lt;=Depth,(Design_HWL-A43+Liner_Thickness)/Liner_Thickness,"")</f>
      </c>
      <c r="C43" s="73">
        <f t="shared" si="2"/>
      </c>
      <c r="D43" s="166">
        <f t="shared" si="3"/>
      </c>
      <c r="E43" s="166"/>
      <c r="F43" s="74">
        <f t="shared" si="4"/>
      </c>
      <c r="G43" s="73">
        <f t="shared" si="5"/>
      </c>
      <c r="H43" s="73">
        <f t="shared" si="6"/>
      </c>
      <c r="I43" s="73">
        <f t="shared" si="7"/>
      </c>
      <c r="J43" s="73">
        <f t="shared" si="8"/>
      </c>
      <c r="K43" s="73">
        <f t="shared" si="9"/>
      </c>
    </row>
    <row r="44" spans="1:11" s="23" customFormat="1" ht="12.75">
      <c r="A44" s="63">
        <f aca="true" t="shared" si="11" ref="A44:A71">IF(A43&lt;Depth,A43+0.5,"")</f>
      </c>
      <c r="B44" s="63">
        <f t="shared" si="10"/>
      </c>
      <c r="C44" s="73">
        <f aca="true" t="shared" si="12" ref="C44:C71">IF(A44&lt;=Depth,SQRT((A44-A43)^2+(Slope*(A44-A43))^2),"")</f>
      </c>
      <c r="D44" s="166">
        <f aca="true" t="shared" si="13" ref="D44:D71">IF($A44&lt;=Depth+0.5,Top_Length-(2*Slope*(Depth-$A44)),"")</f>
      </c>
      <c r="E44" s="166"/>
      <c r="F44" s="74">
        <f aca="true" t="shared" si="14" ref="F44:F71">IF($A44&lt;=Depth+0.5,Top_Width-(2*Slope*(Depth-$A44)),"")</f>
      </c>
      <c r="G44" s="73">
        <f aca="true" t="shared" si="15" ref="G44:G71">IF(A44&lt;=Depth,2*C44*D43,"")</f>
      </c>
      <c r="H44" s="73">
        <f aca="true" t="shared" si="16" ref="H44:H71">IF(A44&lt;=Depth,2*C44*F43,"")</f>
      </c>
      <c r="I44" s="73">
        <f aca="true" t="shared" si="17" ref="I44:I71">IF(A44&lt;=Depth,4*C44*(D44-D43)/2,"")</f>
      </c>
      <c r="J44" s="73">
        <f aca="true" t="shared" si="18" ref="J44:J71">IF(A44&lt;=Depth,SUM(G44:I44),"")</f>
      </c>
      <c r="K44" s="73">
        <f aca="true" t="shared" si="19" ref="K44:K71">IF(A44&lt;=Depth,Average_K*B44*J44,"")</f>
      </c>
    </row>
    <row r="45" spans="1:11" s="23" customFormat="1" ht="12.75">
      <c r="A45" s="63">
        <f t="shared" si="11"/>
      </c>
      <c r="B45" s="63">
        <f t="shared" si="10"/>
      </c>
      <c r="C45" s="73">
        <f t="shared" si="12"/>
      </c>
      <c r="D45" s="166">
        <f t="shared" si="13"/>
      </c>
      <c r="E45" s="166"/>
      <c r="F45" s="74">
        <f t="shared" si="14"/>
      </c>
      <c r="G45" s="73">
        <f t="shared" si="15"/>
      </c>
      <c r="H45" s="73">
        <f t="shared" si="16"/>
      </c>
      <c r="I45" s="73">
        <f t="shared" si="17"/>
      </c>
      <c r="J45" s="73">
        <f t="shared" si="18"/>
      </c>
      <c r="K45" s="73">
        <f t="shared" si="19"/>
      </c>
    </row>
    <row r="46" spans="1:11" s="23" customFormat="1" ht="12.75">
      <c r="A46" s="63">
        <f t="shared" si="11"/>
      </c>
      <c r="B46" s="63">
        <f t="shared" si="10"/>
      </c>
      <c r="C46" s="73">
        <f t="shared" si="12"/>
      </c>
      <c r="D46" s="166">
        <f t="shared" si="13"/>
      </c>
      <c r="E46" s="166"/>
      <c r="F46" s="74">
        <f t="shared" si="14"/>
      </c>
      <c r="G46" s="73">
        <f t="shared" si="15"/>
      </c>
      <c r="H46" s="73">
        <f t="shared" si="16"/>
      </c>
      <c r="I46" s="73">
        <f t="shared" si="17"/>
      </c>
      <c r="J46" s="73">
        <f t="shared" si="18"/>
      </c>
      <c r="K46" s="73">
        <f t="shared" si="19"/>
      </c>
    </row>
    <row r="47" spans="1:11" s="23" customFormat="1" ht="12.75">
      <c r="A47" s="63">
        <f t="shared" si="11"/>
      </c>
      <c r="B47" s="63">
        <f t="shared" si="10"/>
      </c>
      <c r="C47" s="73">
        <f t="shared" si="12"/>
      </c>
      <c r="D47" s="166">
        <f t="shared" si="13"/>
      </c>
      <c r="E47" s="166"/>
      <c r="F47" s="74">
        <f t="shared" si="14"/>
      </c>
      <c r="G47" s="73">
        <f t="shared" si="15"/>
      </c>
      <c r="H47" s="73">
        <f t="shared" si="16"/>
      </c>
      <c r="I47" s="73">
        <f t="shared" si="17"/>
      </c>
      <c r="J47" s="73">
        <f t="shared" si="18"/>
      </c>
      <c r="K47" s="73">
        <f t="shared" si="19"/>
      </c>
    </row>
    <row r="48" spans="1:11" s="23" customFormat="1" ht="12.75">
      <c r="A48" s="63">
        <f t="shared" si="11"/>
      </c>
      <c r="B48" s="63">
        <f t="shared" si="10"/>
      </c>
      <c r="C48" s="73">
        <f t="shared" si="12"/>
      </c>
      <c r="D48" s="166">
        <f t="shared" si="13"/>
      </c>
      <c r="E48" s="166"/>
      <c r="F48" s="74">
        <f t="shared" si="14"/>
      </c>
      <c r="G48" s="73">
        <f t="shared" si="15"/>
      </c>
      <c r="H48" s="73">
        <f t="shared" si="16"/>
      </c>
      <c r="I48" s="73">
        <f t="shared" si="17"/>
      </c>
      <c r="J48" s="73">
        <f t="shared" si="18"/>
      </c>
      <c r="K48" s="73">
        <f t="shared" si="19"/>
      </c>
    </row>
    <row r="49" spans="1:11" s="23" customFormat="1" ht="12.75">
      <c r="A49" s="63">
        <f t="shared" si="11"/>
      </c>
      <c r="B49" s="63">
        <f t="shared" si="10"/>
      </c>
      <c r="C49" s="73">
        <f t="shared" si="12"/>
      </c>
      <c r="D49" s="166">
        <f t="shared" si="13"/>
      </c>
      <c r="E49" s="166"/>
      <c r="F49" s="74">
        <f t="shared" si="14"/>
      </c>
      <c r="G49" s="73">
        <f t="shared" si="15"/>
      </c>
      <c r="H49" s="73">
        <f t="shared" si="16"/>
      </c>
      <c r="I49" s="73">
        <f t="shared" si="17"/>
      </c>
      <c r="J49" s="73">
        <f t="shared" si="18"/>
      </c>
      <c r="K49" s="73">
        <f t="shared" si="19"/>
      </c>
    </row>
    <row r="50" spans="1:11" s="23" customFormat="1" ht="12.75">
      <c r="A50" s="63">
        <f t="shared" si="11"/>
      </c>
      <c r="B50" s="63">
        <f t="shared" si="10"/>
      </c>
      <c r="C50" s="73">
        <f t="shared" si="12"/>
      </c>
      <c r="D50" s="166">
        <f t="shared" si="13"/>
      </c>
      <c r="E50" s="166"/>
      <c r="F50" s="74">
        <f t="shared" si="14"/>
      </c>
      <c r="G50" s="73">
        <f t="shared" si="15"/>
      </c>
      <c r="H50" s="73">
        <f t="shared" si="16"/>
      </c>
      <c r="I50" s="73">
        <f t="shared" si="17"/>
      </c>
      <c r="J50" s="73">
        <f t="shared" si="18"/>
      </c>
      <c r="K50" s="73">
        <f t="shared" si="19"/>
      </c>
    </row>
    <row r="51" spans="1:11" s="23" customFormat="1" ht="12.75">
      <c r="A51" s="63">
        <f t="shared" si="11"/>
      </c>
      <c r="B51" s="63">
        <f t="shared" si="10"/>
      </c>
      <c r="C51" s="73">
        <f t="shared" si="12"/>
      </c>
      <c r="D51" s="166">
        <f t="shared" si="13"/>
      </c>
      <c r="E51" s="166"/>
      <c r="F51" s="74">
        <f t="shared" si="14"/>
      </c>
      <c r="G51" s="73">
        <f t="shared" si="15"/>
      </c>
      <c r="H51" s="73">
        <f t="shared" si="16"/>
      </c>
      <c r="I51" s="73">
        <f t="shared" si="17"/>
      </c>
      <c r="J51" s="73">
        <f t="shared" si="18"/>
      </c>
      <c r="K51" s="73">
        <f t="shared" si="19"/>
      </c>
    </row>
    <row r="52" spans="1:11" s="23" customFormat="1" ht="12.75">
      <c r="A52" s="63">
        <f t="shared" si="11"/>
      </c>
      <c r="B52" s="63">
        <f t="shared" si="10"/>
      </c>
      <c r="C52" s="73">
        <f t="shared" si="12"/>
      </c>
      <c r="D52" s="166">
        <f t="shared" si="13"/>
      </c>
      <c r="E52" s="166"/>
      <c r="F52" s="74">
        <f t="shared" si="14"/>
      </c>
      <c r="G52" s="73">
        <f t="shared" si="15"/>
      </c>
      <c r="H52" s="73">
        <f t="shared" si="16"/>
      </c>
      <c r="I52" s="73">
        <f t="shared" si="17"/>
      </c>
      <c r="J52" s="73">
        <f t="shared" si="18"/>
      </c>
      <c r="K52" s="73">
        <f t="shared" si="19"/>
      </c>
    </row>
    <row r="53" spans="1:11" s="23" customFormat="1" ht="12.75">
      <c r="A53" s="63">
        <f t="shared" si="11"/>
      </c>
      <c r="B53" s="63">
        <f t="shared" si="10"/>
      </c>
      <c r="C53" s="73">
        <f t="shared" si="12"/>
      </c>
      <c r="D53" s="166">
        <f t="shared" si="13"/>
      </c>
      <c r="E53" s="166"/>
      <c r="F53" s="74">
        <f t="shared" si="14"/>
      </c>
      <c r="G53" s="73">
        <f t="shared" si="15"/>
      </c>
      <c r="H53" s="73">
        <f t="shared" si="16"/>
      </c>
      <c r="I53" s="73">
        <f t="shared" si="17"/>
      </c>
      <c r="J53" s="73">
        <f t="shared" si="18"/>
      </c>
      <c r="K53" s="73">
        <f t="shared" si="19"/>
      </c>
    </row>
    <row r="54" spans="1:11" s="23" customFormat="1" ht="12.75">
      <c r="A54" s="63">
        <f t="shared" si="11"/>
      </c>
      <c r="B54" s="63">
        <f t="shared" si="10"/>
      </c>
      <c r="C54" s="73">
        <f t="shared" si="12"/>
      </c>
      <c r="D54" s="166">
        <f t="shared" si="13"/>
      </c>
      <c r="E54" s="166"/>
      <c r="F54" s="74">
        <f t="shared" si="14"/>
      </c>
      <c r="G54" s="73">
        <f t="shared" si="15"/>
      </c>
      <c r="H54" s="73">
        <f t="shared" si="16"/>
      </c>
      <c r="I54" s="73">
        <f t="shared" si="17"/>
      </c>
      <c r="J54" s="73">
        <f t="shared" si="18"/>
      </c>
      <c r="K54" s="73">
        <f t="shared" si="19"/>
      </c>
    </row>
    <row r="55" spans="1:11" s="23" customFormat="1" ht="12.75">
      <c r="A55" s="63">
        <f t="shared" si="11"/>
      </c>
      <c r="B55" s="63">
        <f t="shared" si="10"/>
      </c>
      <c r="C55" s="73">
        <f t="shared" si="12"/>
      </c>
      <c r="D55" s="166">
        <f t="shared" si="13"/>
      </c>
      <c r="E55" s="166"/>
      <c r="F55" s="74">
        <f t="shared" si="14"/>
      </c>
      <c r="G55" s="73">
        <f t="shared" si="15"/>
      </c>
      <c r="H55" s="73">
        <f t="shared" si="16"/>
      </c>
      <c r="I55" s="73">
        <f t="shared" si="17"/>
      </c>
      <c r="J55" s="73">
        <f t="shared" si="18"/>
      </c>
      <c r="K55" s="73">
        <f t="shared" si="19"/>
      </c>
    </row>
    <row r="56" spans="1:11" s="23" customFormat="1" ht="12.75">
      <c r="A56" s="63">
        <f t="shared" si="11"/>
      </c>
      <c r="B56" s="63">
        <f t="shared" si="10"/>
      </c>
      <c r="C56" s="73">
        <f t="shared" si="12"/>
      </c>
      <c r="D56" s="166">
        <f t="shared" si="13"/>
      </c>
      <c r="E56" s="166"/>
      <c r="F56" s="74">
        <f t="shared" si="14"/>
      </c>
      <c r="G56" s="73">
        <f t="shared" si="15"/>
      </c>
      <c r="H56" s="73">
        <f t="shared" si="16"/>
      </c>
      <c r="I56" s="73">
        <f t="shared" si="17"/>
      </c>
      <c r="J56" s="73">
        <f t="shared" si="18"/>
      </c>
      <c r="K56" s="73">
        <f t="shared" si="19"/>
      </c>
    </row>
    <row r="57" spans="1:11" s="23" customFormat="1" ht="12.75">
      <c r="A57" s="63">
        <f t="shared" si="11"/>
      </c>
      <c r="B57" s="63">
        <f t="shared" si="10"/>
      </c>
      <c r="C57" s="73">
        <f t="shared" si="12"/>
      </c>
      <c r="D57" s="166">
        <f t="shared" si="13"/>
      </c>
      <c r="E57" s="166"/>
      <c r="F57" s="74">
        <f t="shared" si="14"/>
      </c>
      <c r="G57" s="73">
        <f t="shared" si="15"/>
      </c>
      <c r="H57" s="73">
        <f t="shared" si="16"/>
      </c>
      <c r="I57" s="73">
        <f t="shared" si="17"/>
      </c>
      <c r="J57" s="73">
        <f t="shared" si="18"/>
      </c>
      <c r="K57" s="73">
        <f t="shared" si="19"/>
      </c>
    </row>
    <row r="58" spans="1:11" s="23" customFormat="1" ht="12.75">
      <c r="A58" s="63">
        <f t="shared" si="11"/>
      </c>
      <c r="B58" s="63">
        <f t="shared" si="10"/>
      </c>
      <c r="C58" s="73">
        <f t="shared" si="12"/>
      </c>
      <c r="D58" s="166">
        <f t="shared" si="13"/>
      </c>
      <c r="E58" s="166"/>
      <c r="F58" s="74">
        <f t="shared" si="14"/>
      </c>
      <c r="G58" s="73">
        <f t="shared" si="15"/>
      </c>
      <c r="H58" s="73">
        <f t="shared" si="16"/>
      </c>
      <c r="I58" s="73">
        <f t="shared" si="17"/>
      </c>
      <c r="J58" s="73">
        <f t="shared" si="18"/>
      </c>
      <c r="K58" s="73">
        <f t="shared" si="19"/>
      </c>
    </row>
    <row r="59" spans="1:11" s="23" customFormat="1" ht="12.75">
      <c r="A59" s="63">
        <f t="shared" si="11"/>
      </c>
      <c r="B59" s="63">
        <f t="shared" si="10"/>
      </c>
      <c r="C59" s="73">
        <f t="shared" si="12"/>
      </c>
      <c r="D59" s="166">
        <f t="shared" si="13"/>
      </c>
      <c r="E59" s="166"/>
      <c r="F59" s="74">
        <f t="shared" si="14"/>
      </c>
      <c r="G59" s="73">
        <f t="shared" si="15"/>
      </c>
      <c r="H59" s="73">
        <f t="shared" si="16"/>
      </c>
      <c r="I59" s="73">
        <f t="shared" si="17"/>
      </c>
      <c r="J59" s="73">
        <f t="shared" si="18"/>
      </c>
      <c r="K59" s="73">
        <f t="shared" si="19"/>
      </c>
    </row>
    <row r="60" spans="1:11" s="23" customFormat="1" ht="12.75">
      <c r="A60" s="63">
        <f t="shared" si="11"/>
      </c>
      <c r="B60" s="63">
        <f t="shared" si="10"/>
      </c>
      <c r="C60" s="73">
        <f t="shared" si="12"/>
      </c>
      <c r="D60" s="166">
        <f t="shared" si="13"/>
      </c>
      <c r="E60" s="166"/>
      <c r="F60" s="74">
        <f t="shared" si="14"/>
      </c>
      <c r="G60" s="73">
        <f t="shared" si="15"/>
      </c>
      <c r="H60" s="73">
        <f t="shared" si="16"/>
      </c>
      <c r="I60" s="73">
        <f t="shared" si="17"/>
      </c>
      <c r="J60" s="73">
        <f t="shared" si="18"/>
      </c>
      <c r="K60" s="73">
        <f t="shared" si="19"/>
      </c>
    </row>
    <row r="61" spans="1:11" s="23" customFormat="1" ht="12.75">
      <c r="A61" s="63">
        <f t="shared" si="11"/>
      </c>
      <c r="B61" s="63">
        <f t="shared" si="10"/>
      </c>
      <c r="C61" s="73">
        <f t="shared" si="12"/>
      </c>
      <c r="D61" s="166">
        <f t="shared" si="13"/>
      </c>
      <c r="E61" s="166"/>
      <c r="F61" s="74">
        <f t="shared" si="14"/>
      </c>
      <c r="G61" s="73">
        <f t="shared" si="15"/>
      </c>
      <c r="H61" s="73">
        <f t="shared" si="16"/>
      </c>
      <c r="I61" s="73">
        <f t="shared" si="17"/>
      </c>
      <c r="J61" s="73">
        <f t="shared" si="18"/>
      </c>
      <c r="K61" s="73">
        <f t="shared" si="19"/>
      </c>
    </row>
    <row r="62" spans="1:11" s="23" customFormat="1" ht="12.75">
      <c r="A62" s="63">
        <f t="shared" si="11"/>
      </c>
      <c r="B62" s="63">
        <f t="shared" si="10"/>
      </c>
      <c r="C62" s="73">
        <f t="shared" si="12"/>
      </c>
      <c r="D62" s="166">
        <f t="shared" si="13"/>
      </c>
      <c r="E62" s="166"/>
      <c r="F62" s="74">
        <f t="shared" si="14"/>
      </c>
      <c r="G62" s="73">
        <f t="shared" si="15"/>
      </c>
      <c r="H62" s="73">
        <f t="shared" si="16"/>
      </c>
      <c r="I62" s="73">
        <f t="shared" si="17"/>
      </c>
      <c r="J62" s="73">
        <f t="shared" si="18"/>
      </c>
      <c r="K62" s="73">
        <f t="shared" si="19"/>
      </c>
    </row>
    <row r="63" spans="1:11" s="23" customFormat="1" ht="12.75">
      <c r="A63" s="63">
        <f t="shared" si="11"/>
      </c>
      <c r="B63" s="63">
        <f t="shared" si="10"/>
      </c>
      <c r="C63" s="73">
        <f t="shared" si="12"/>
      </c>
      <c r="D63" s="166">
        <f t="shared" si="13"/>
      </c>
      <c r="E63" s="166"/>
      <c r="F63" s="74">
        <f t="shared" si="14"/>
      </c>
      <c r="G63" s="73">
        <f t="shared" si="15"/>
      </c>
      <c r="H63" s="73">
        <f t="shared" si="16"/>
      </c>
      <c r="I63" s="73">
        <f t="shared" si="17"/>
      </c>
      <c r="J63" s="73">
        <f t="shared" si="18"/>
      </c>
      <c r="K63" s="73">
        <f t="shared" si="19"/>
      </c>
    </row>
    <row r="64" spans="1:11" s="23" customFormat="1" ht="12.75">
      <c r="A64" s="63">
        <f t="shared" si="11"/>
      </c>
      <c r="B64" s="63">
        <f t="shared" si="10"/>
      </c>
      <c r="C64" s="73">
        <f t="shared" si="12"/>
      </c>
      <c r="D64" s="166">
        <f t="shared" si="13"/>
      </c>
      <c r="E64" s="166"/>
      <c r="F64" s="74">
        <f t="shared" si="14"/>
      </c>
      <c r="G64" s="73">
        <f t="shared" si="15"/>
      </c>
      <c r="H64" s="73">
        <f t="shared" si="16"/>
      </c>
      <c r="I64" s="73">
        <f t="shared" si="17"/>
      </c>
      <c r="J64" s="73">
        <f t="shared" si="18"/>
      </c>
      <c r="K64" s="73">
        <f t="shared" si="19"/>
      </c>
    </row>
    <row r="65" spans="1:11" s="23" customFormat="1" ht="12.75">
      <c r="A65" s="63">
        <f t="shared" si="11"/>
      </c>
      <c r="B65" s="63">
        <f t="shared" si="10"/>
      </c>
      <c r="C65" s="73">
        <f t="shared" si="12"/>
      </c>
      <c r="D65" s="166">
        <f t="shared" si="13"/>
      </c>
      <c r="E65" s="166"/>
      <c r="F65" s="74">
        <f t="shared" si="14"/>
      </c>
      <c r="G65" s="73">
        <f t="shared" si="15"/>
      </c>
      <c r="H65" s="73">
        <f t="shared" si="16"/>
      </c>
      <c r="I65" s="73">
        <f t="shared" si="17"/>
      </c>
      <c r="J65" s="73">
        <f t="shared" si="18"/>
      </c>
      <c r="K65" s="73">
        <f t="shared" si="19"/>
      </c>
    </row>
    <row r="66" spans="1:11" s="23" customFormat="1" ht="12.75">
      <c r="A66" s="63">
        <f t="shared" si="11"/>
      </c>
      <c r="B66" s="63">
        <f t="shared" si="10"/>
      </c>
      <c r="C66" s="73">
        <f t="shared" si="12"/>
      </c>
      <c r="D66" s="166">
        <f t="shared" si="13"/>
      </c>
      <c r="E66" s="166"/>
      <c r="F66" s="74">
        <f t="shared" si="14"/>
      </c>
      <c r="G66" s="73">
        <f t="shared" si="15"/>
      </c>
      <c r="H66" s="73">
        <f t="shared" si="16"/>
      </c>
      <c r="I66" s="73">
        <f t="shared" si="17"/>
      </c>
      <c r="J66" s="73">
        <f t="shared" si="18"/>
      </c>
      <c r="K66" s="73">
        <f t="shared" si="19"/>
      </c>
    </row>
    <row r="67" spans="1:11" s="23" customFormat="1" ht="12.75">
      <c r="A67" s="63">
        <f t="shared" si="11"/>
      </c>
      <c r="B67" s="63">
        <f t="shared" si="10"/>
      </c>
      <c r="C67" s="73">
        <f t="shared" si="12"/>
      </c>
      <c r="D67" s="166">
        <f t="shared" si="13"/>
      </c>
      <c r="E67" s="166"/>
      <c r="F67" s="74">
        <f t="shared" si="14"/>
      </c>
      <c r="G67" s="73">
        <f t="shared" si="15"/>
      </c>
      <c r="H67" s="73">
        <f t="shared" si="16"/>
      </c>
      <c r="I67" s="73">
        <f t="shared" si="17"/>
      </c>
      <c r="J67" s="73">
        <f t="shared" si="18"/>
      </c>
      <c r="K67" s="73">
        <f t="shared" si="19"/>
      </c>
    </row>
    <row r="68" spans="1:11" s="23" customFormat="1" ht="12.75">
      <c r="A68" s="63">
        <f t="shared" si="11"/>
      </c>
      <c r="B68" s="63">
        <f t="shared" si="10"/>
      </c>
      <c r="C68" s="73">
        <f t="shared" si="12"/>
      </c>
      <c r="D68" s="166">
        <f t="shared" si="13"/>
      </c>
      <c r="E68" s="166"/>
      <c r="F68" s="74">
        <f t="shared" si="14"/>
      </c>
      <c r="G68" s="73">
        <f t="shared" si="15"/>
      </c>
      <c r="H68" s="73">
        <f t="shared" si="16"/>
      </c>
      <c r="I68" s="73">
        <f t="shared" si="17"/>
      </c>
      <c r="J68" s="73">
        <f t="shared" si="18"/>
      </c>
      <c r="K68" s="73">
        <f t="shared" si="19"/>
      </c>
    </row>
    <row r="69" spans="1:11" s="23" customFormat="1" ht="12.75">
      <c r="A69" s="63">
        <f t="shared" si="11"/>
      </c>
      <c r="B69" s="63">
        <f t="shared" si="10"/>
      </c>
      <c r="C69" s="73">
        <f t="shared" si="12"/>
      </c>
      <c r="D69" s="166">
        <f t="shared" si="13"/>
      </c>
      <c r="E69" s="166"/>
      <c r="F69" s="74">
        <f t="shared" si="14"/>
      </c>
      <c r="G69" s="73">
        <f t="shared" si="15"/>
      </c>
      <c r="H69" s="73">
        <f t="shared" si="16"/>
      </c>
      <c r="I69" s="73">
        <f t="shared" si="17"/>
      </c>
      <c r="J69" s="73">
        <f t="shared" si="18"/>
      </c>
      <c r="K69" s="73">
        <f t="shared" si="19"/>
      </c>
    </row>
    <row r="70" spans="1:11" s="23" customFormat="1" ht="12.75">
      <c r="A70" s="63">
        <f t="shared" si="11"/>
      </c>
      <c r="B70" s="63">
        <f t="shared" si="10"/>
      </c>
      <c r="C70" s="73">
        <f t="shared" si="12"/>
      </c>
      <c r="D70" s="166">
        <f t="shared" si="13"/>
      </c>
      <c r="E70" s="166"/>
      <c r="F70" s="74">
        <f t="shared" si="14"/>
      </c>
      <c r="G70" s="73">
        <f t="shared" si="15"/>
      </c>
      <c r="H70" s="73">
        <f t="shared" si="16"/>
      </c>
      <c r="I70" s="73">
        <f t="shared" si="17"/>
      </c>
      <c r="J70" s="73">
        <f t="shared" si="18"/>
      </c>
      <c r="K70" s="73">
        <f t="shared" si="19"/>
      </c>
    </row>
    <row r="71" spans="1:11" s="23" customFormat="1" ht="12.75">
      <c r="A71" s="63">
        <f t="shared" si="11"/>
      </c>
      <c r="B71" s="63">
        <f t="shared" si="10"/>
      </c>
      <c r="C71" s="73">
        <f t="shared" si="12"/>
      </c>
      <c r="D71" s="166">
        <f t="shared" si="13"/>
      </c>
      <c r="E71" s="166"/>
      <c r="F71" s="74">
        <f t="shared" si="14"/>
      </c>
      <c r="G71" s="73">
        <f t="shared" si="15"/>
      </c>
      <c r="H71" s="73">
        <f t="shared" si="16"/>
      </c>
      <c r="I71" s="73">
        <f t="shared" si="17"/>
      </c>
      <c r="J71" s="73">
        <f t="shared" si="18"/>
      </c>
      <c r="K71" s="73">
        <f t="shared" si="19"/>
      </c>
    </row>
    <row r="72" s="23" customFormat="1" ht="12.75"/>
  </sheetData>
  <sheetProtection sheet="1" objects="1" scenarios="1"/>
  <mergeCells count="65">
    <mergeCell ref="A1:G1"/>
    <mergeCell ref="I2:I3"/>
    <mergeCell ref="D10:E10"/>
    <mergeCell ref="D11:E11"/>
    <mergeCell ref="D12:E12"/>
    <mergeCell ref="D13:E13"/>
    <mergeCell ref="D20:E20"/>
    <mergeCell ref="D19:E19"/>
    <mergeCell ref="D14:E14"/>
    <mergeCell ref="D15:E15"/>
    <mergeCell ref="I5:I6"/>
    <mergeCell ref="D16:E16"/>
    <mergeCell ref="D17:E17"/>
    <mergeCell ref="D18:E18"/>
    <mergeCell ref="D26:E26"/>
    <mergeCell ref="D27:E27"/>
    <mergeCell ref="D28:E28"/>
    <mergeCell ref="D21:E21"/>
    <mergeCell ref="D22:E22"/>
    <mergeCell ref="D23:E23"/>
    <mergeCell ref="D24:E24"/>
    <mergeCell ref="D25:E2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70:E70"/>
    <mergeCell ref="D71:E71"/>
    <mergeCell ref="D57:E57"/>
    <mergeCell ref="D58:E58"/>
    <mergeCell ref="D68:E68"/>
    <mergeCell ref="D69:E69"/>
    <mergeCell ref="D67:E67"/>
    <mergeCell ref="D63:E63"/>
    <mergeCell ref="D64:E64"/>
    <mergeCell ref="D65:E65"/>
    <mergeCell ref="D66:E66"/>
    <mergeCell ref="D59:E59"/>
    <mergeCell ref="D60:E60"/>
    <mergeCell ref="D61:E61"/>
    <mergeCell ref="D62:E62"/>
  </mergeCells>
  <conditionalFormatting sqref="A11:K71">
    <cfRule type="expression" priority="1" dxfId="6" stopIfTrue="1">
      <formula>AND($A11=$B$4,$A11&lt;&gt;"")</formula>
    </cfRule>
    <cfRule type="expression" priority="2" dxfId="7" stopIfTrue="1">
      <formula>$A11&lt;&gt;""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86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1.28125" style="0" customWidth="1"/>
    <col min="3" max="3" width="2.140625" style="0" customWidth="1"/>
    <col min="4" max="4" width="11.28125" style="0" customWidth="1"/>
    <col min="5" max="6" width="14.28125" style="0" customWidth="1"/>
    <col min="7" max="7" width="10.421875" style="0" customWidth="1"/>
  </cols>
  <sheetData>
    <row r="1" spans="1:7" ht="27">
      <c r="A1" s="176" t="s">
        <v>26</v>
      </c>
      <c r="B1" s="176"/>
      <c r="C1" s="176"/>
      <c r="D1" s="176"/>
      <c r="E1" s="176"/>
      <c r="F1" s="176"/>
      <c r="G1" s="48"/>
    </row>
    <row r="3" spans="1:6" ht="12.75" customHeight="1">
      <c r="A3" s="40" t="s">
        <v>0</v>
      </c>
      <c r="B3" s="26">
        <f>'Basin Information'!B2</f>
        <v>150</v>
      </c>
      <c r="C3" s="17" t="s">
        <v>35</v>
      </c>
      <c r="E3" s="174" t="s">
        <v>42</v>
      </c>
      <c r="F3" s="175"/>
    </row>
    <row r="4" spans="1:6" ht="12.75">
      <c r="A4" s="40" t="s">
        <v>6</v>
      </c>
      <c r="B4" s="26">
        <f>'Basin Information'!B3</f>
        <v>350</v>
      </c>
      <c r="C4" s="17" t="s">
        <v>35</v>
      </c>
      <c r="E4" s="38">
        <f>(((Top_Width-(2*Slope*(Depth-Design_HWL)))*(Top_Length-(2*Slope*(Depth-Design_HWL)))*(Design_HWL))-(((Slope)*(Design_HWL^2))*((Top_Width-(2*Slope*(Depth-Design_HWL)))+(Top_Length-(2*Slope*(Depth-Design_HWL)))))+((4*(Slope^2)*(Design_HWL^3))/3))</f>
        <v>383724</v>
      </c>
      <c r="F4" s="16" t="s">
        <v>41</v>
      </c>
    </row>
    <row r="5" spans="1:6" ht="12.75">
      <c r="A5" s="42" t="s">
        <v>1</v>
      </c>
      <c r="B5" s="26">
        <f>'Basin Information'!B5</f>
        <v>3</v>
      </c>
      <c r="C5" s="17" t="s">
        <v>2</v>
      </c>
      <c r="E5" s="38">
        <f>(E4*7.48)</f>
        <v>2870255.52</v>
      </c>
      <c r="F5" s="16" t="s">
        <v>39</v>
      </c>
    </row>
    <row r="6" spans="1:6" ht="12.75">
      <c r="A6" s="42" t="s">
        <v>5</v>
      </c>
      <c r="B6" s="26">
        <f>'Basin Information'!B4</f>
        <v>12</v>
      </c>
      <c r="C6" s="17" t="s">
        <v>35</v>
      </c>
      <c r="E6" s="47"/>
      <c r="F6" s="41"/>
    </row>
    <row r="7" spans="1:6" ht="12.75">
      <c r="A7" s="42" t="s">
        <v>29</v>
      </c>
      <c r="B7" s="26">
        <f>'Basin Information'!B6</f>
        <v>1</v>
      </c>
      <c r="C7" s="17" t="s">
        <v>35</v>
      </c>
      <c r="E7" s="174" t="s">
        <v>63</v>
      </c>
      <c r="F7" s="175"/>
    </row>
    <row r="8" spans="1:6" ht="12.75">
      <c r="A8" s="43" t="s">
        <v>61</v>
      </c>
      <c r="B8" s="26">
        <f>'Basin Information'!B7</f>
        <v>1</v>
      </c>
      <c r="C8" s="17" t="s">
        <v>35</v>
      </c>
      <c r="D8" s="7"/>
      <c r="E8" s="38">
        <f>E4-LOOKUP(B8,A12:A62,E12:E62)</f>
        <v>360960</v>
      </c>
      <c r="F8" s="16" t="s">
        <v>41</v>
      </c>
    </row>
    <row r="9" spans="1:6" ht="12.75">
      <c r="A9" s="40" t="s">
        <v>7</v>
      </c>
      <c r="B9" s="26">
        <f>Depth-Free_Board</f>
        <v>11</v>
      </c>
      <c r="C9" s="17" t="s">
        <v>35</v>
      </c>
      <c r="D9" s="7"/>
      <c r="E9" s="38">
        <f>E5-LOOKUP(B8,A12:A62,F12:F62)</f>
        <v>2699980.8</v>
      </c>
      <c r="F9" s="16" t="s">
        <v>39</v>
      </c>
    </row>
    <row r="11" spans="1:6" ht="15">
      <c r="A11" s="18" t="s">
        <v>28</v>
      </c>
      <c r="B11" s="172" t="s">
        <v>19</v>
      </c>
      <c r="C11" s="172"/>
      <c r="D11" s="44" t="s">
        <v>20</v>
      </c>
      <c r="E11" s="44" t="s">
        <v>27</v>
      </c>
      <c r="F11" s="19" t="s">
        <v>62</v>
      </c>
    </row>
    <row r="12" spans="1:6" ht="12.75">
      <c r="A12">
        <v>0</v>
      </c>
      <c r="B12" s="173">
        <f aca="true" t="shared" si="0" ref="B12:B54">IF($A12&lt;Depth+0.5,Top_Length-(2*Slope*(Depth-$A12)),"")</f>
        <v>78</v>
      </c>
      <c r="C12" s="173"/>
      <c r="D12" s="45">
        <f aca="true" t="shared" si="1" ref="D12:D54">IF($A12&lt;Depth+0.5,Top_Width-(2*Slope*(Depth-$A12)),"")</f>
        <v>278</v>
      </c>
      <c r="E12" s="46">
        <f aca="true" t="shared" si="2" ref="E12:E54">IF($A12&lt;Depth+0.5,((D12*B12*A12)-((Slope*A12^2)*(D12+B12))+((4*Slope^2*A12^3)/3)),"")</f>
        <v>0</v>
      </c>
      <c r="F12" s="20">
        <f aca="true" t="shared" si="3" ref="F12:F62">IF($A12&lt;Depth+0.5,E12*7.48,"")</f>
        <v>0</v>
      </c>
    </row>
    <row r="13" spans="1:6" ht="12.75">
      <c r="A13">
        <f aca="true" t="shared" si="4" ref="A13:A54">IF(A12&lt;Depth,A12+0.5,"")</f>
        <v>0.5</v>
      </c>
      <c r="B13" s="173">
        <f>IF($A13&lt;Depth+0.5,Top_Length-(2*Slope*(Depth-$A13)),"")</f>
        <v>81</v>
      </c>
      <c r="C13" s="173"/>
      <c r="D13" s="1">
        <f>IF($A13&lt;Depth+0.5,Top_Width-(2*Slope*(Depth-$A13)),"")</f>
        <v>281</v>
      </c>
      <c r="E13" s="39">
        <f>IF($A13&lt;Depth+0.5,((D13*B13*A13)-((Slope*A13^2)*(D13+B13))+((4*Slope^2*A13^3)/3)),"")</f>
        <v>11110.5</v>
      </c>
      <c r="F13" s="20">
        <f t="shared" si="3"/>
        <v>83106.54000000001</v>
      </c>
    </row>
    <row r="14" spans="1:6" ht="12.75">
      <c r="A14">
        <f t="shared" si="4"/>
        <v>1</v>
      </c>
      <c r="B14" s="173">
        <f t="shared" si="0"/>
        <v>84</v>
      </c>
      <c r="C14" s="173"/>
      <c r="D14" s="1">
        <f t="shared" si="1"/>
        <v>284</v>
      </c>
      <c r="E14" s="39">
        <f t="shared" si="2"/>
        <v>22764</v>
      </c>
      <c r="F14" s="20">
        <f t="shared" si="3"/>
        <v>170274.72</v>
      </c>
    </row>
    <row r="15" spans="1:6" ht="12.75">
      <c r="A15">
        <f t="shared" si="4"/>
        <v>1.5</v>
      </c>
      <c r="B15" s="173">
        <f t="shared" si="0"/>
        <v>87</v>
      </c>
      <c r="C15" s="173"/>
      <c r="D15" s="1">
        <f t="shared" si="1"/>
        <v>287</v>
      </c>
      <c r="E15" s="39">
        <f t="shared" si="2"/>
        <v>34969.5</v>
      </c>
      <c r="F15" s="20">
        <f t="shared" si="3"/>
        <v>261571.86000000002</v>
      </c>
    </row>
    <row r="16" spans="1:6" ht="12.75">
      <c r="A16">
        <f t="shared" si="4"/>
        <v>2</v>
      </c>
      <c r="B16" s="173">
        <f t="shared" si="0"/>
        <v>90</v>
      </c>
      <c r="C16" s="173"/>
      <c r="D16" s="1">
        <f t="shared" si="1"/>
        <v>290</v>
      </c>
      <c r="E16" s="39">
        <f t="shared" si="2"/>
        <v>47736</v>
      </c>
      <c r="F16" s="20">
        <f t="shared" si="3"/>
        <v>357065.28</v>
      </c>
    </row>
    <row r="17" spans="1:6" ht="12.75">
      <c r="A17">
        <f t="shared" si="4"/>
        <v>2.5</v>
      </c>
      <c r="B17" s="173">
        <f t="shared" si="0"/>
        <v>93</v>
      </c>
      <c r="C17" s="173"/>
      <c r="D17" s="1">
        <f t="shared" si="1"/>
        <v>293</v>
      </c>
      <c r="E17" s="39">
        <f t="shared" si="2"/>
        <v>61072.5</v>
      </c>
      <c r="F17" s="20">
        <f t="shared" si="3"/>
        <v>456822.30000000005</v>
      </c>
    </row>
    <row r="18" spans="1:6" ht="12.75">
      <c r="A18">
        <f t="shared" si="4"/>
        <v>3</v>
      </c>
      <c r="B18" s="173">
        <f t="shared" si="0"/>
        <v>96</v>
      </c>
      <c r="C18" s="173"/>
      <c r="D18" s="1">
        <f t="shared" si="1"/>
        <v>296</v>
      </c>
      <c r="E18" s="39">
        <f t="shared" si="2"/>
        <v>74988</v>
      </c>
      <c r="F18" s="20">
        <f t="shared" si="3"/>
        <v>560910.24</v>
      </c>
    </row>
    <row r="19" spans="1:6" ht="12.75">
      <c r="A19">
        <f t="shared" si="4"/>
        <v>3.5</v>
      </c>
      <c r="B19" s="173">
        <f t="shared" si="0"/>
        <v>99</v>
      </c>
      <c r="C19" s="173"/>
      <c r="D19" s="1">
        <f t="shared" si="1"/>
        <v>299</v>
      </c>
      <c r="E19" s="39">
        <f t="shared" si="2"/>
        <v>89491.5</v>
      </c>
      <c r="F19" s="20">
        <f t="shared" si="3"/>
        <v>669396.42</v>
      </c>
    </row>
    <row r="20" spans="1:6" ht="12.75">
      <c r="A20">
        <f t="shared" si="4"/>
        <v>4</v>
      </c>
      <c r="B20" s="173">
        <f t="shared" si="0"/>
        <v>102</v>
      </c>
      <c r="C20" s="173"/>
      <c r="D20" s="1">
        <f t="shared" si="1"/>
        <v>302</v>
      </c>
      <c r="E20" s="39">
        <f t="shared" si="2"/>
        <v>104592</v>
      </c>
      <c r="F20" s="20">
        <f t="shared" si="3"/>
        <v>782348.16</v>
      </c>
    </row>
    <row r="21" spans="1:6" ht="12.75">
      <c r="A21">
        <f t="shared" si="4"/>
        <v>4.5</v>
      </c>
      <c r="B21" s="173">
        <f t="shared" si="0"/>
        <v>105</v>
      </c>
      <c r="C21" s="173"/>
      <c r="D21" s="1">
        <f t="shared" si="1"/>
        <v>305</v>
      </c>
      <c r="E21" s="39">
        <f t="shared" si="2"/>
        <v>120298.5</v>
      </c>
      <c r="F21" s="20">
        <f t="shared" si="3"/>
        <v>899832.78</v>
      </c>
    </row>
    <row r="22" spans="1:6" ht="12.75">
      <c r="A22">
        <f t="shared" si="4"/>
        <v>5</v>
      </c>
      <c r="B22" s="173">
        <f t="shared" si="0"/>
        <v>108</v>
      </c>
      <c r="C22" s="173"/>
      <c r="D22" s="1">
        <f t="shared" si="1"/>
        <v>308</v>
      </c>
      <c r="E22" s="39">
        <f t="shared" si="2"/>
        <v>136620</v>
      </c>
      <c r="F22" s="20">
        <f t="shared" si="3"/>
        <v>1021917.6000000001</v>
      </c>
    </row>
    <row r="23" spans="1:6" ht="12.75">
      <c r="A23">
        <f t="shared" si="4"/>
        <v>5.5</v>
      </c>
      <c r="B23" s="173">
        <f t="shared" si="0"/>
        <v>111</v>
      </c>
      <c r="C23" s="173"/>
      <c r="D23" s="1">
        <f t="shared" si="1"/>
        <v>311</v>
      </c>
      <c r="E23" s="39">
        <f t="shared" si="2"/>
        <v>153565.5</v>
      </c>
      <c r="F23" s="20">
        <f t="shared" si="3"/>
        <v>1148669.9400000002</v>
      </c>
    </row>
    <row r="24" spans="1:6" ht="12.75">
      <c r="A24">
        <f t="shared" si="4"/>
        <v>6</v>
      </c>
      <c r="B24" s="173">
        <f t="shared" si="0"/>
        <v>114</v>
      </c>
      <c r="C24" s="173"/>
      <c r="D24" s="1">
        <f t="shared" si="1"/>
        <v>314</v>
      </c>
      <c r="E24" s="39">
        <f t="shared" si="2"/>
        <v>171144</v>
      </c>
      <c r="F24" s="20">
        <f t="shared" si="3"/>
        <v>1280157.12</v>
      </c>
    </row>
    <row r="25" spans="1:6" ht="12.75">
      <c r="A25">
        <f t="shared" si="4"/>
        <v>6.5</v>
      </c>
      <c r="B25" s="173">
        <f t="shared" si="0"/>
        <v>117</v>
      </c>
      <c r="C25" s="173"/>
      <c r="D25" s="1">
        <f t="shared" si="1"/>
        <v>317</v>
      </c>
      <c r="E25" s="39">
        <f t="shared" si="2"/>
        <v>189364.5</v>
      </c>
      <c r="F25" s="20">
        <f t="shared" si="3"/>
        <v>1416446.4600000002</v>
      </c>
    </row>
    <row r="26" spans="1:6" ht="12.75">
      <c r="A26">
        <f t="shared" si="4"/>
        <v>7</v>
      </c>
      <c r="B26" s="173">
        <f t="shared" si="0"/>
        <v>120</v>
      </c>
      <c r="C26" s="173"/>
      <c r="D26" s="1">
        <f t="shared" si="1"/>
        <v>320</v>
      </c>
      <c r="E26" s="39">
        <f t="shared" si="2"/>
        <v>208236</v>
      </c>
      <c r="F26" s="20">
        <f t="shared" si="3"/>
        <v>1557605.28</v>
      </c>
    </row>
    <row r="27" spans="1:6" ht="12.75">
      <c r="A27">
        <f t="shared" si="4"/>
        <v>7.5</v>
      </c>
      <c r="B27" s="173">
        <f t="shared" si="0"/>
        <v>123</v>
      </c>
      <c r="C27" s="173"/>
      <c r="D27" s="1">
        <f t="shared" si="1"/>
        <v>323</v>
      </c>
      <c r="E27" s="39">
        <f t="shared" si="2"/>
        <v>227767.5</v>
      </c>
      <c r="F27" s="20">
        <f t="shared" si="3"/>
        <v>1703700.9000000001</v>
      </c>
    </row>
    <row r="28" spans="1:6" ht="12.75">
      <c r="A28">
        <f t="shared" si="4"/>
        <v>8</v>
      </c>
      <c r="B28" s="173">
        <f t="shared" si="0"/>
        <v>126</v>
      </c>
      <c r="C28" s="173"/>
      <c r="D28" s="1">
        <f t="shared" si="1"/>
        <v>326</v>
      </c>
      <c r="E28" s="39">
        <f t="shared" si="2"/>
        <v>247968</v>
      </c>
      <c r="F28" s="20">
        <f t="shared" si="3"/>
        <v>1854800.6400000001</v>
      </c>
    </row>
    <row r="29" spans="1:6" ht="12.75">
      <c r="A29">
        <f t="shared" si="4"/>
        <v>8.5</v>
      </c>
      <c r="B29" s="173">
        <f t="shared" si="0"/>
        <v>129</v>
      </c>
      <c r="C29" s="173"/>
      <c r="D29" s="1">
        <f t="shared" si="1"/>
        <v>329</v>
      </c>
      <c r="E29" s="39">
        <f t="shared" si="2"/>
        <v>268846.5</v>
      </c>
      <c r="F29" s="20">
        <f t="shared" si="3"/>
        <v>2010971.82</v>
      </c>
    </row>
    <row r="30" spans="1:6" ht="12.75">
      <c r="A30">
        <f t="shared" si="4"/>
        <v>9</v>
      </c>
      <c r="B30" s="173">
        <f t="shared" si="0"/>
        <v>132</v>
      </c>
      <c r="C30" s="173"/>
      <c r="D30" s="1">
        <f t="shared" si="1"/>
        <v>332</v>
      </c>
      <c r="E30" s="39">
        <f t="shared" si="2"/>
        <v>290412</v>
      </c>
      <c r="F30" s="20">
        <f t="shared" si="3"/>
        <v>2172281.7600000002</v>
      </c>
    </row>
    <row r="31" spans="1:6" ht="12.75">
      <c r="A31">
        <f t="shared" si="4"/>
        <v>9.5</v>
      </c>
      <c r="B31" s="173">
        <f t="shared" si="0"/>
        <v>135</v>
      </c>
      <c r="C31" s="173"/>
      <c r="D31" s="1">
        <f t="shared" si="1"/>
        <v>335</v>
      </c>
      <c r="E31" s="39">
        <f t="shared" si="2"/>
        <v>312673.5</v>
      </c>
      <c r="F31" s="20">
        <f t="shared" si="3"/>
        <v>2338797.7800000003</v>
      </c>
    </row>
    <row r="32" spans="1:6" ht="12.75">
      <c r="A32">
        <f t="shared" si="4"/>
        <v>10</v>
      </c>
      <c r="B32" s="173">
        <f t="shared" si="0"/>
        <v>138</v>
      </c>
      <c r="C32" s="173"/>
      <c r="D32" s="1">
        <f t="shared" si="1"/>
        <v>338</v>
      </c>
      <c r="E32" s="39">
        <f t="shared" si="2"/>
        <v>335640</v>
      </c>
      <c r="F32" s="20">
        <f t="shared" si="3"/>
        <v>2510587.2</v>
      </c>
    </row>
    <row r="33" spans="1:6" ht="12.75">
      <c r="A33">
        <f t="shared" si="4"/>
        <v>10.5</v>
      </c>
      <c r="B33" s="173">
        <f t="shared" si="0"/>
        <v>141</v>
      </c>
      <c r="C33" s="173"/>
      <c r="D33" s="1">
        <f t="shared" si="1"/>
        <v>341</v>
      </c>
      <c r="E33" s="39">
        <f t="shared" si="2"/>
        <v>359320.5</v>
      </c>
      <c r="F33" s="20">
        <f t="shared" si="3"/>
        <v>2687717.3400000003</v>
      </c>
    </row>
    <row r="34" spans="1:6" ht="12.75">
      <c r="A34">
        <f t="shared" si="4"/>
        <v>11</v>
      </c>
      <c r="B34" s="173">
        <f t="shared" si="0"/>
        <v>144</v>
      </c>
      <c r="C34" s="173"/>
      <c r="D34" s="1">
        <f t="shared" si="1"/>
        <v>344</v>
      </c>
      <c r="E34" s="39">
        <f t="shared" si="2"/>
        <v>383724</v>
      </c>
      <c r="F34" s="20">
        <f t="shared" si="3"/>
        <v>2870255.52</v>
      </c>
    </row>
    <row r="35" spans="1:6" ht="12.75">
      <c r="A35">
        <f t="shared" si="4"/>
        <v>11.5</v>
      </c>
      <c r="B35" s="173">
        <f t="shared" si="0"/>
        <v>147</v>
      </c>
      <c r="C35" s="173"/>
      <c r="D35" s="1">
        <f t="shared" si="1"/>
        <v>347</v>
      </c>
      <c r="E35" s="39">
        <f t="shared" si="2"/>
        <v>408859.5</v>
      </c>
      <c r="F35" s="20">
        <f t="shared" si="3"/>
        <v>3058269.06</v>
      </c>
    </row>
    <row r="36" spans="1:6" ht="12.75">
      <c r="A36">
        <f t="shared" si="4"/>
        <v>12</v>
      </c>
      <c r="B36" s="173">
        <f t="shared" si="0"/>
        <v>150</v>
      </c>
      <c r="C36" s="173"/>
      <c r="D36" s="1">
        <f t="shared" si="1"/>
        <v>350</v>
      </c>
      <c r="E36" s="39">
        <f t="shared" si="2"/>
        <v>434736</v>
      </c>
      <c r="F36" s="20">
        <f t="shared" si="3"/>
        <v>3251825.2800000003</v>
      </c>
    </row>
    <row r="37" spans="1:6" ht="12.75">
      <c r="A37">
        <f t="shared" si="4"/>
      </c>
      <c r="B37" s="173">
        <f t="shared" si="0"/>
      </c>
      <c r="C37" s="173"/>
      <c r="D37" s="1">
        <f t="shared" si="1"/>
      </c>
      <c r="E37" s="39">
        <f t="shared" si="2"/>
      </c>
      <c r="F37" s="20">
        <f t="shared" si="3"/>
      </c>
    </row>
    <row r="38" spans="1:6" ht="12.75">
      <c r="A38">
        <f t="shared" si="4"/>
      </c>
      <c r="B38" s="173">
        <f t="shared" si="0"/>
      </c>
      <c r="C38" s="173"/>
      <c r="D38" s="1">
        <f t="shared" si="1"/>
      </c>
      <c r="E38" s="39">
        <f t="shared" si="2"/>
      </c>
      <c r="F38" s="20">
        <f t="shared" si="3"/>
      </c>
    </row>
    <row r="39" spans="1:6" ht="12.75">
      <c r="A39">
        <f t="shared" si="4"/>
      </c>
      <c r="B39" s="173">
        <f t="shared" si="0"/>
      </c>
      <c r="C39" s="173"/>
      <c r="D39" s="1">
        <f t="shared" si="1"/>
      </c>
      <c r="E39" s="39">
        <f t="shared" si="2"/>
      </c>
      <c r="F39" s="20">
        <f t="shared" si="3"/>
      </c>
    </row>
    <row r="40" spans="1:6" ht="12.75">
      <c r="A40">
        <f t="shared" si="4"/>
      </c>
      <c r="B40" s="173">
        <f t="shared" si="0"/>
      </c>
      <c r="C40" s="173"/>
      <c r="D40" s="1">
        <f t="shared" si="1"/>
      </c>
      <c r="E40" s="39">
        <f t="shared" si="2"/>
      </c>
      <c r="F40" s="20">
        <f t="shared" si="3"/>
      </c>
    </row>
    <row r="41" spans="1:6" ht="12.75">
      <c r="A41">
        <f t="shared" si="4"/>
      </c>
      <c r="B41" s="173">
        <f t="shared" si="0"/>
      </c>
      <c r="C41" s="173"/>
      <c r="D41" s="1">
        <f t="shared" si="1"/>
      </c>
      <c r="E41" s="39">
        <f t="shared" si="2"/>
      </c>
      <c r="F41" s="20">
        <f t="shared" si="3"/>
      </c>
    </row>
    <row r="42" spans="1:6" ht="12.75">
      <c r="A42">
        <f t="shared" si="4"/>
      </c>
      <c r="B42" s="173">
        <f t="shared" si="0"/>
      </c>
      <c r="C42" s="173"/>
      <c r="D42" s="1">
        <f t="shared" si="1"/>
      </c>
      <c r="E42" s="39">
        <f t="shared" si="2"/>
      </c>
      <c r="F42" s="20">
        <f t="shared" si="3"/>
      </c>
    </row>
    <row r="43" spans="1:6" ht="12.75">
      <c r="A43">
        <f t="shared" si="4"/>
      </c>
      <c r="B43" s="173">
        <f t="shared" si="0"/>
      </c>
      <c r="C43" s="173"/>
      <c r="D43" s="1">
        <f t="shared" si="1"/>
      </c>
      <c r="E43" s="39">
        <f t="shared" si="2"/>
      </c>
      <c r="F43" s="20">
        <f t="shared" si="3"/>
      </c>
    </row>
    <row r="44" spans="1:6" ht="12.75">
      <c r="A44">
        <f t="shared" si="4"/>
      </c>
      <c r="B44" s="173">
        <f t="shared" si="0"/>
      </c>
      <c r="C44" s="173"/>
      <c r="D44" s="1">
        <f t="shared" si="1"/>
      </c>
      <c r="E44" s="39">
        <f t="shared" si="2"/>
      </c>
      <c r="F44" s="20">
        <f t="shared" si="3"/>
      </c>
    </row>
    <row r="45" spans="1:6" ht="12.75">
      <c r="A45">
        <f t="shared" si="4"/>
      </c>
      <c r="B45" s="173">
        <f t="shared" si="0"/>
      </c>
      <c r="C45" s="173"/>
      <c r="D45" s="1">
        <f t="shared" si="1"/>
      </c>
      <c r="E45" s="39">
        <f t="shared" si="2"/>
      </c>
      <c r="F45" s="20">
        <f t="shared" si="3"/>
      </c>
    </row>
    <row r="46" spans="1:6" ht="12.75">
      <c r="A46">
        <f t="shared" si="4"/>
      </c>
      <c r="B46" s="173">
        <f t="shared" si="0"/>
      </c>
      <c r="C46" s="173"/>
      <c r="D46" s="1">
        <f t="shared" si="1"/>
      </c>
      <c r="E46" s="39">
        <f t="shared" si="2"/>
      </c>
      <c r="F46" s="20">
        <f t="shared" si="3"/>
      </c>
    </row>
    <row r="47" spans="1:6" ht="12.75">
      <c r="A47">
        <f t="shared" si="4"/>
      </c>
      <c r="B47" s="173">
        <f t="shared" si="0"/>
      </c>
      <c r="C47" s="173"/>
      <c r="D47" s="1">
        <f t="shared" si="1"/>
      </c>
      <c r="E47" s="39">
        <f t="shared" si="2"/>
      </c>
      <c r="F47" s="20">
        <f t="shared" si="3"/>
      </c>
    </row>
    <row r="48" spans="1:6" ht="12.75">
      <c r="A48">
        <f t="shared" si="4"/>
      </c>
      <c r="B48" s="173">
        <f t="shared" si="0"/>
      </c>
      <c r="C48" s="173"/>
      <c r="D48" s="1">
        <f t="shared" si="1"/>
      </c>
      <c r="E48" s="39">
        <f t="shared" si="2"/>
      </c>
      <c r="F48" s="20">
        <f t="shared" si="3"/>
      </c>
    </row>
    <row r="49" spans="1:6" ht="12.75">
      <c r="A49">
        <f t="shared" si="4"/>
      </c>
      <c r="B49" s="173">
        <f t="shared" si="0"/>
      </c>
      <c r="C49" s="173"/>
      <c r="D49" s="1">
        <f t="shared" si="1"/>
      </c>
      <c r="E49" s="39">
        <f t="shared" si="2"/>
      </c>
      <c r="F49" s="20">
        <f t="shared" si="3"/>
      </c>
    </row>
    <row r="50" spans="1:6" ht="12.75">
      <c r="A50">
        <f t="shared" si="4"/>
      </c>
      <c r="B50" s="173">
        <f t="shared" si="0"/>
      </c>
      <c r="C50" s="173"/>
      <c r="D50" s="1">
        <f t="shared" si="1"/>
      </c>
      <c r="E50" s="39">
        <f t="shared" si="2"/>
      </c>
      <c r="F50" s="20">
        <f t="shared" si="3"/>
      </c>
    </row>
    <row r="51" spans="1:6" ht="12.75">
      <c r="A51">
        <f t="shared" si="4"/>
      </c>
      <c r="B51" s="173">
        <f t="shared" si="0"/>
      </c>
      <c r="C51" s="173"/>
      <c r="D51" s="1">
        <f t="shared" si="1"/>
      </c>
      <c r="E51" s="39">
        <f t="shared" si="2"/>
      </c>
      <c r="F51" s="20">
        <f t="shared" si="3"/>
      </c>
    </row>
    <row r="52" spans="1:6" ht="12.75">
      <c r="A52">
        <f t="shared" si="4"/>
      </c>
      <c r="B52" s="173">
        <f t="shared" si="0"/>
      </c>
      <c r="C52" s="173"/>
      <c r="D52" s="1">
        <f t="shared" si="1"/>
      </c>
      <c r="E52" s="39">
        <f t="shared" si="2"/>
      </c>
      <c r="F52" s="20">
        <f t="shared" si="3"/>
      </c>
    </row>
    <row r="53" spans="1:6" ht="12.75">
      <c r="A53">
        <f t="shared" si="4"/>
      </c>
      <c r="B53" s="173">
        <f t="shared" si="0"/>
      </c>
      <c r="C53" s="173"/>
      <c r="D53" s="1">
        <f t="shared" si="1"/>
      </c>
      <c r="E53" s="39">
        <f t="shared" si="2"/>
      </c>
      <c r="F53" s="20">
        <f t="shared" si="3"/>
      </c>
    </row>
    <row r="54" spans="1:6" ht="12.75">
      <c r="A54">
        <f t="shared" si="4"/>
      </c>
      <c r="B54" s="173">
        <f t="shared" si="0"/>
      </c>
      <c r="C54" s="173"/>
      <c r="D54" s="1">
        <f t="shared" si="1"/>
      </c>
      <c r="E54" s="39">
        <f t="shared" si="2"/>
      </c>
      <c r="F54" s="20">
        <f t="shared" si="3"/>
      </c>
    </row>
    <row r="55" spans="1:6" ht="12.75">
      <c r="A55">
        <f aca="true" t="shared" si="5" ref="A55:A62">IF(A54&lt;Depth,A54+1,"")</f>
      </c>
      <c r="B55" s="173">
        <f aca="true" t="shared" si="6" ref="B55:B62">IF($A55&lt;Depth+1,Top_Length-(2*Slope*(Depth-$A55)),"")</f>
      </c>
      <c r="C55" s="173"/>
      <c r="D55" s="1">
        <f aca="true" t="shared" si="7" ref="D55:D62">IF($A55&lt;Depth+1,Top_Width-(2*Slope*(Depth-$A55)),"")</f>
      </c>
      <c r="E55" s="39">
        <f aca="true" t="shared" si="8" ref="E55:E62">IF($A55&lt;Depth+1,((D55*B55*A55)-((Slope*A55^2)*(D55+B55))+((4*Slope^2*A55^3)/3)),"")</f>
      </c>
      <c r="F55" s="20">
        <f t="shared" si="3"/>
      </c>
    </row>
    <row r="56" spans="1:6" ht="12.75">
      <c r="A56">
        <f t="shared" si="5"/>
      </c>
      <c r="B56" s="173">
        <f t="shared" si="6"/>
      </c>
      <c r="C56" s="173"/>
      <c r="D56" s="1">
        <f t="shared" si="7"/>
      </c>
      <c r="E56" s="39">
        <f t="shared" si="8"/>
      </c>
      <c r="F56" s="20">
        <f t="shared" si="3"/>
      </c>
    </row>
    <row r="57" spans="1:6" ht="12.75">
      <c r="A57">
        <f t="shared" si="5"/>
      </c>
      <c r="B57" s="173">
        <f t="shared" si="6"/>
      </c>
      <c r="C57" s="173"/>
      <c r="D57" s="1">
        <f t="shared" si="7"/>
      </c>
      <c r="E57" s="39">
        <f t="shared" si="8"/>
      </c>
      <c r="F57" s="20">
        <f t="shared" si="3"/>
      </c>
    </row>
    <row r="58" spans="1:6" ht="12.75">
      <c r="A58">
        <f t="shared" si="5"/>
      </c>
      <c r="B58" s="173">
        <f t="shared" si="6"/>
      </c>
      <c r="C58" s="173"/>
      <c r="D58" s="1">
        <f t="shared" si="7"/>
      </c>
      <c r="E58" s="39">
        <f t="shared" si="8"/>
      </c>
      <c r="F58" s="20">
        <f t="shared" si="3"/>
      </c>
    </row>
    <row r="59" spans="1:6" ht="12.75">
      <c r="A59">
        <f t="shared" si="5"/>
      </c>
      <c r="B59" s="173">
        <f t="shared" si="6"/>
      </c>
      <c r="C59" s="173"/>
      <c r="D59" s="1">
        <f t="shared" si="7"/>
      </c>
      <c r="E59" s="39">
        <f t="shared" si="8"/>
      </c>
      <c r="F59" s="20">
        <f t="shared" si="3"/>
      </c>
    </row>
    <row r="60" spans="1:6" ht="12.75">
      <c r="A60">
        <f t="shared" si="5"/>
      </c>
      <c r="B60" s="173">
        <f t="shared" si="6"/>
      </c>
      <c r="C60" s="173"/>
      <c r="D60" s="1">
        <f t="shared" si="7"/>
      </c>
      <c r="E60" s="39">
        <f t="shared" si="8"/>
      </c>
      <c r="F60" s="20">
        <f t="shared" si="3"/>
      </c>
    </row>
    <row r="61" spans="1:6" ht="12.75">
      <c r="A61">
        <f t="shared" si="5"/>
      </c>
      <c r="B61" s="173">
        <f t="shared" si="6"/>
      </c>
      <c r="C61" s="173"/>
      <c r="D61" s="1">
        <f t="shared" si="7"/>
      </c>
      <c r="E61" s="39">
        <f t="shared" si="8"/>
      </c>
      <c r="F61" s="20">
        <f t="shared" si="3"/>
      </c>
    </row>
    <row r="62" spans="1:6" ht="12.75">
      <c r="A62">
        <f t="shared" si="5"/>
      </c>
      <c r="B62" s="173">
        <f t="shared" si="6"/>
      </c>
      <c r="C62" s="173"/>
      <c r="D62" s="1">
        <f t="shared" si="7"/>
      </c>
      <c r="E62" s="39">
        <f t="shared" si="8"/>
      </c>
      <c r="F62" s="20">
        <f t="shared" si="3"/>
      </c>
    </row>
    <row r="63" spans="4:5" ht="12.75">
      <c r="D63" s="1"/>
      <c r="E63" s="15"/>
    </row>
    <row r="64" spans="4:5" ht="12.75">
      <c r="D64" s="1"/>
      <c r="E64" s="15"/>
    </row>
    <row r="65" spans="4:5" ht="12.75">
      <c r="D65" s="1"/>
      <c r="E65" s="15"/>
    </row>
    <row r="66" spans="4:5" ht="12.75">
      <c r="D66" s="1"/>
      <c r="E66" s="15"/>
    </row>
    <row r="67" spans="4:5" ht="12.75">
      <c r="D67" s="1"/>
      <c r="E67" s="15"/>
    </row>
    <row r="68" spans="4:5" ht="12.75">
      <c r="D68" s="1"/>
      <c r="E68" s="15"/>
    </row>
    <row r="69" spans="4:5" ht="12.75">
      <c r="D69" s="1"/>
      <c r="E69" s="15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</sheetData>
  <sheetProtection sheet="1" objects="1" scenarios="1"/>
  <mergeCells count="55">
    <mergeCell ref="E3:F3"/>
    <mergeCell ref="E7:F7"/>
    <mergeCell ref="A1:F1"/>
    <mergeCell ref="B62:C62"/>
    <mergeCell ref="B60:C60"/>
    <mergeCell ref="B61:C61"/>
    <mergeCell ref="B58:C58"/>
    <mergeCell ref="B59:C59"/>
    <mergeCell ref="B56:C56"/>
    <mergeCell ref="B57:C57"/>
    <mergeCell ref="B54:C54"/>
    <mergeCell ref="B55:C55"/>
    <mergeCell ref="B52:C52"/>
    <mergeCell ref="B53:C53"/>
    <mergeCell ref="B50:C50"/>
    <mergeCell ref="B51:C51"/>
    <mergeCell ref="B48:C48"/>
    <mergeCell ref="B49:C49"/>
    <mergeCell ref="B46:C46"/>
    <mergeCell ref="B47:C47"/>
    <mergeCell ref="B44:C44"/>
    <mergeCell ref="B45:C45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7:C27"/>
    <mergeCell ref="B28:C28"/>
    <mergeCell ref="B29:C29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20:C20"/>
  </mergeCells>
  <conditionalFormatting sqref="A12:F62">
    <cfRule type="expression" priority="1" dxfId="6" stopIfTrue="1">
      <formula>$A12=$B$9</formula>
    </cfRule>
    <cfRule type="expression" priority="2" dxfId="8" stopIfTrue="1">
      <formula>OR($A12&lt;=$B$6,MOD(($A12-$B$6),1)&lt;&gt;0)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6.00390625" style="0" customWidth="1"/>
  </cols>
  <sheetData>
    <row r="1" ht="12.75">
      <c r="A1" t="s">
        <v>43</v>
      </c>
    </row>
    <row r="3" spans="7:9" ht="12.75">
      <c r="G3" s="15" t="s">
        <v>44</v>
      </c>
      <c r="H3" t="s">
        <v>0</v>
      </c>
      <c r="I3" s="90">
        <v>492</v>
      </c>
    </row>
    <row r="4" spans="7:9" ht="12.75">
      <c r="G4" s="15" t="s">
        <v>45</v>
      </c>
      <c r="H4" t="s">
        <v>6</v>
      </c>
      <c r="I4" s="90">
        <v>90</v>
      </c>
    </row>
    <row r="5" spans="7:9" ht="12.75">
      <c r="G5" s="15" t="s">
        <v>48</v>
      </c>
      <c r="H5" t="s">
        <v>52</v>
      </c>
      <c r="I5" s="90">
        <v>3</v>
      </c>
    </row>
    <row r="6" spans="7:9" ht="12.75">
      <c r="G6" s="15" t="s">
        <v>49</v>
      </c>
      <c r="H6" t="s">
        <v>53</v>
      </c>
      <c r="I6" s="90">
        <v>3</v>
      </c>
    </row>
    <row r="7" spans="7:9" ht="12.75">
      <c r="G7" s="15" t="s">
        <v>50</v>
      </c>
      <c r="H7" t="s">
        <v>54</v>
      </c>
      <c r="I7" s="90">
        <v>3</v>
      </c>
    </row>
    <row r="8" spans="7:9" ht="12.75">
      <c r="G8" s="15" t="s">
        <v>51</v>
      </c>
      <c r="H8" t="s">
        <v>55</v>
      </c>
      <c r="I8" s="90">
        <v>10</v>
      </c>
    </row>
    <row r="9" spans="7:9" ht="12.75">
      <c r="G9" s="15" t="s">
        <v>56</v>
      </c>
      <c r="H9" t="s">
        <v>29</v>
      </c>
      <c r="I9" s="90">
        <v>4</v>
      </c>
    </row>
    <row r="10" spans="7:9" ht="12.75">
      <c r="G10" s="15" t="s">
        <v>57</v>
      </c>
      <c r="H10" t="s">
        <v>58</v>
      </c>
      <c r="I10" s="90">
        <v>11</v>
      </c>
    </row>
    <row r="11" spans="7:9" ht="12.75">
      <c r="G11" s="15" t="s">
        <v>46</v>
      </c>
      <c r="H11" t="s">
        <v>3</v>
      </c>
      <c r="I11">
        <f>TL-(D*(S2_+S4_))</f>
        <v>349</v>
      </c>
    </row>
    <row r="12" spans="7:9" ht="12.75">
      <c r="G12" s="15" t="s">
        <v>47</v>
      </c>
      <c r="H12" t="s">
        <v>4</v>
      </c>
      <c r="I12">
        <f>TW-(D*(S1_+S3_))</f>
        <v>24</v>
      </c>
    </row>
    <row r="14" spans="1:4" ht="12.75">
      <c r="A14" t="s">
        <v>60</v>
      </c>
      <c r="D14" t="s">
        <v>59</v>
      </c>
    </row>
    <row r="15" spans="1:4" ht="12.75">
      <c r="A15">
        <f>((D)^3/3*(S1_*S2_+S2_*S3_+S3_*S4_+S4_*S1_))+((D)^2/2*((S1_+S3_)*BL+(S2_+S4_)*BW))+(BW*BL*(D))</f>
        <v>272305</v>
      </c>
      <c r="D15">
        <f>((D-FB)^3/3*(S1_*S2_+S2_*S3_+S3_*S4_+S4_*S1_))+((D-FB)^2/2*((S1_+S3_)*BL+(S2_+S4_)*BW))+(BW*BL*(D-FB))</f>
        <v>126497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5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29.140625" style="0" customWidth="1"/>
    <col min="2" max="2" width="5.28125" style="0" customWidth="1"/>
    <col min="3" max="3" width="13.8515625" style="0" customWidth="1"/>
  </cols>
  <sheetData>
    <row r="1" ht="17.25">
      <c r="A1" s="98" t="s">
        <v>104</v>
      </c>
    </row>
    <row r="3" spans="1:2" ht="12.75">
      <c r="A3" s="100" t="s">
        <v>90</v>
      </c>
      <c r="B3" s="95"/>
    </row>
    <row r="4" spans="1:4" ht="15">
      <c r="A4" s="101" t="s">
        <v>94</v>
      </c>
      <c r="B4" s="103" t="s">
        <v>99</v>
      </c>
      <c r="C4" s="111">
        <v>12</v>
      </c>
      <c r="D4" s="105" t="s">
        <v>96</v>
      </c>
    </row>
    <row r="5" spans="1:4" ht="15">
      <c r="A5" s="101" t="s">
        <v>95</v>
      </c>
      <c r="B5" s="102" t="s">
        <v>98</v>
      </c>
      <c r="C5" s="112">
        <v>2.5E-07</v>
      </c>
      <c r="D5" s="105" t="s">
        <v>14</v>
      </c>
    </row>
    <row r="6" spans="1:4" ht="12.75">
      <c r="A6" s="106"/>
      <c r="B6" s="107"/>
      <c r="C6" s="7"/>
      <c r="D6" s="104"/>
    </row>
    <row r="7" spans="1:2" ht="12.75">
      <c r="A7" s="99" t="s">
        <v>91</v>
      </c>
      <c r="B7" s="96"/>
    </row>
    <row r="8" spans="1:4" ht="15">
      <c r="A8" s="101" t="s">
        <v>94</v>
      </c>
      <c r="B8" s="102" t="s">
        <v>100</v>
      </c>
      <c r="C8" s="111">
        <v>12</v>
      </c>
      <c r="D8" s="105" t="s">
        <v>96</v>
      </c>
    </row>
    <row r="9" spans="1:4" ht="15">
      <c r="A9" s="101" t="s">
        <v>95</v>
      </c>
      <c r="B9" s="102" t="s">
        <v>101</v>
      </c>
      <c r="C9" s="112">
        <v>8.2E-08</v>
      </c>
      <c r="D9" s="105" t="s">
        <v>14</v>
      </c>
    </row>
    <row r="10" spans="1:4" ht="12.75">
      <c r="A10" s="106"/>
      <c r="B10" s="107"/>
      <c r="C10" s="7"/>
      <c r="D10" s="104"/>
    </row>
    <row r="11" spans="1:2" ht="12.75">
      <c r="A11" s="95" t="s">
        <v>92</v>
      </c>
      <c r="B11" s="96"/>
    </row>
    <row r="12" spans="1:4" ht="15">
      <c r="A12" s="101" t="s">
        <v>94</v>
      </c>
      <c r="B12" s="102" t="s">
        <v>102</v>
      </c>
      <c r="C12" s="111"/>
      <c r="D12" s="105" t="s">
        <v>96</v>
      </c>
    </row>
    <row r="13" spans="1:4" ht="15">
      <c r="A13" s="101" t="s">
        <v>95</v>
      </c>
      <c r="B13" s="102" t="s">
        <v>103</v>
      </c>
      <c r="C13" s="111"/>
      <c r="D13" s="105" t="s">
        <v>14</v>
      </c>
    </row>
    <row r="14" ht="12.75">
      <c r="B14" s="97"/>
    </row>
    <row r="15" spans="1:4" ht="15.75">
      <c r="A15" s="108" t="s">
        <v>93</v>
      </c>
      <c r="B15" s="109" t="s">
        <v>97</v>
      </c>
      <c r="C15" s="110">
        <f>IF(IF(C4="",0,C4)+IF(C8="",0,C8)+IF(C12="",0,C12)=0,"",(IF(C4="",0,CONVERT(C4,"in","cm")+IF(C8="",0,CONVERT(C8,"in","cm"))+IF(C12="",0,CONVERT(C12,"in","cm")))/(IF(C4="",0,CONVERT(C4,"in","cm")/C5)+IF(C8="",0,CONVERT(C8,"in","cm")/C9)+IF(C12="",0,CONVERT(C12,"in","cm")/C13))))</f>
        <v>1.2349397590361445E-07</v>
      </c>
      <c r="D15" s="104" t="s">
        <v>14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4951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Hukriede</Manager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Manure basin volume and seepage calculator</dc:title>
  <dc:subject>Manure basin volume and seepage calculator</dc:subject>
  <dc:creator>George Schwint</dc:creator>
  <cp:keywords>Minnesota Pollution Control Agency, water quality, feedlots, manure management </cp:keywords>
  <dc:description/>
  <cp:lastModifiedBy>fpeters</cp:lastModifiedBy>
  <cp:lastPrinted>2011-05-31T17:56:28Z</cp:lastPrinted>
  <dcterms:created xsi:type="dcterms:W3CDTF">2003-09-30T20:39:25Z</dcterms:created>
  <dcterms:modified xsi:type="dcterms:W3CDTF">2011-06-01T14:53:02Z</dcterms:modified>
  <cp:category>water quality, feedlots, manure management</cp:category>
  <cp:version/>
  <cp:contentType/>
  <cp:contentStatus/>
</cp:coreProperties>
</file>